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9\Documents\REGIONÁLNÍ ROZVOJ\PŘEHLED DAT OBCÍ\"/>
    </mc:Choice>
  </mc:AlternateContent>
  <bookViews>
    <workbookView xWindow="-12" yWindow="-12" windowWidth="15336" windowHeight="4440"/>
  </bookViews>
  <sheets>
    <sheet name="KHK" sheetId="22144" r:id="rId1"/>
  </sheets>
  <definedNames>
    <definedName name="_xlnm.Print_Titles" localSheetId="0">KHK!$2:$4</definedName>
    <definedName name="_xlnm.Print_Area" localSheetId="0">KHK!$A:$BB</definedName>
  </definedNames>
  <calcPr calcId="152511"/>
</workbook>
</file>

<file path=xl/calcChain.xml><?xml version="1.0" encoding="utf-8"?>
<calcChain xmlns="http://schemas.openxmlformats.org/spreadsheetml/2006/main">
  <c r="BA7" i="22144" l="1"/>
  <c r="BA8" i="22144"/>
  <c r="BA9" i="22144"/>
  <c r="BA10" i="22144"/>
  <c r="BA11" i="22144"/>
  <c r="BA12" i="22144"/>
  <c r="BA13" i="22144"/>
  <c r="BA14" i="22144"/>
  <c r="BA15" i="22144"/>
  <c r="BA16" i="22144"/>
  <c r="BA17" i="22144"/>
  <c r="BA18" i="22144"/>
  <c r="BA19" i="22144"/>
  <c r="BA20" i="22144"/>
  <c r="BA21" i="22144"/>
  <c r="BA22" i="22144"/>
  <c r="BA23" i="22144"/>
  <c r="BA24" i="22144"/>
  <c r="BA25" i="22144"/>
  <c r="BA26" i="22144"/>
  <c r="BA27" i="22144"/>
  <c r="BA28" i="22144"/>
  <c r="BA29" i="22144"/>
  <c r="BA30" i="22144"/>
  <c r="BA31" i="22144"/>
  <c r="BA32" i="22144"/>
  <c r="BA33" i="22144"/>
  <c r="BA34" i="22144"/>
  <c r="BA35" i="22144"/>
  <c r="BA36" i="22144"/>
  <c r="BA37" i="22144"/>
  <c r="BA38" i="22144"/>
  <c r="BA39" i="22144"/>
  <c r="BA40" i="22144"/>
  <c r="BA41" i="22144"/>
  <c r="BA42" i="22144"/>
  <c r="BA43" i="22144"/>
  <c r="BA44" i="22144"/>
  <c r="BA45" i="22144"/>
  <c r="BA46" i="22144"/>
  <c r="BA47" i="22144"/>
  <c r="BA48" i="22144"/>
  <c r="BA49" i="22144"/>
  <c r="BA50" i="22144"/>
  <c r="BA51" i="22144"/>
  <c r="BA52" i="22144"/>
  <c r="BA53" i="22144"/>
  <c r="BA54" i="22144"/>
  <c r="BA55" i="22144"/>
  <c r="BA56" i="22144"/>
  <c r="BA57" i="22144"/>
  <c r="BA58" i="22144"/>
  <c r="BA59" i="22144"/>
  <c r="BA60" i="22144"/>
  <c r="BA61" i="22144"/>
  <c r="BA62" i="22144"/>
  <c r="BA63" i="22144"/>
  <c r="BA64" i="22144"/>
  <c r="BA65" i="22144"/>
  <c r="BA66" i="22144"/>
  <c r="BA67" i="22144"/>
  <c r="BA68" i="22144"/>
  <c r="BA69" i="22144"/>
  <c r="BA70" i="22144"/>
  <c r="BA71" i="22144"/>
  <c r="BA72" i="22144"/>
  <c r="BA73" i="22144"/>
  <c r="BA74" i="22144"/>
  <c r="BA75" i="22144"/>
  <c r="BA76" i="22144"/>
  <c r="BA77" i="22144"/>
  <c r="BA78" i="22144"/>
  <c r="BA79" i="22144"/>
  <c r="BA80" i="22144"/>
  <c r="BA81" i="22144"/>
  <c r="BA82" i="22144"/>
  <c r="BA83" i="22144"/>
  <c r="BA84" i="22144"/>
  <c r="BA85" i="22144"/>
  <c r="BA86" i="22144"/>
  <c r="BA87" i="22144"/>
  <c r="BA88" i="22144"/>
  <c r="BA89" i="22144"/>
  <c r="BA90" i="22144"/>
  <c r="BA91" i="22144"/>
  <c r="BA92" i="22144"/>
  <c r="BA93" i="22144"/>
  <c r="BA94" i="22144"/>
  <c r="BA95" i="22144"/>
  <c r="BA96" i="22144"/>
  <c r="BA97" i="22144"/>
  <c r="BA98" i="22144"/>
  <c r="BA99" i="22144"/>
  <c r="BA100" i="22144"/>
  <c r="BA101" i="22144"/>
  <c r="BA102" i="22144"/>
  <c r="BA103" i="22144"/>
  <c r="BA104" i="22144"/>
  <c r="BA105" i="22144"/>
  <c r="BA106" i="22144"/>
  <c r="BA107" i="22144"/>
  <c r="BA108" i="22144"/>
  <c r="BA109" i="22144"/>
  <c r="BA110" i="22144"/>
  <c r="BA111" i="22144"/>
  <c r="BA112" i="22144"/>
  <c r="BA113" i="22144"/>
  <c r="BA114" i="22144"/>
  <c r="BA115" i="22144"/>
  <c r="BA116" i="22144"/>
  <c r="BA117" i="22144"/>
  <c r="BA118" i="22144"/>
  <c r="BA119" i="22144"/>
  <c r="BA120" i="22144"/>
  <c r="BA121" i="22144"/>
  <c r="BA122" i="22144"/>
  <c r="BA123" i="22144"/>
  <c r="BA124" i="22144"/>
  <c r="BA125" i="22144"/>
  <c r="BA126" i="22144"/>
  <c r="BA127" i="22144"/>
  <c r="BA128" i="22144"/>
  <c r="BA129" i="22144"/>
  <c r="BA130" i="22144"/>
  <c r="BA131" i="22144"/>
  <c r="BA132" i="22144"/>
  <c r="BA133" i="22144"/>
  <c r="BA134" i="22144"/>
  <c r="BA135" i="22144"/>
  <c r="BA136" i="22144"/>
  <c r="BA137" i="22144"/>
  <c r="BA138" i="22144"/>
  <c r="BA139" i="22144"/>
  <c r="BA140" i="22144"/>
  <c r="BA141" i="22144"/>
  <c r="BA142" i="22144"/>
  <c r="BA143" i="22144"/>
  <c r="BA144" i="22144"/>
  <c r="BA145" i="22144"/>
  <c r="BA146" i="22144"/>
  <c r="BA147" i="22144"/>
  <c r="BA148" i="22144"/>
  <c r="BA149" i="22144"/>
  <c r="BA150" i="22144"/>
  <c r="BA151" i="22144"/>
  <c r="BA152" i="22144"/>
  <c r="BA153" i="22144"/>
  <c r="BA154" i="22144"/>
  <c r="BA155" i="22144"/>
  <c r="BA156" i="22144"/>
  <c r="BA157" i="22144"/>
  <c r="BA158" i="22144"/>
  <c r="BA159" i="22144"/>
  <c r="BA160" i="22144"/>
  <c r="BA161" i="22144"/>
  <c r="BA162" i="22144"/>
  <c r="BA163" i="22144"/>
  <c r="BA164" i="22144"/>
  <c r="BA165" i="22144"/>
  <c r="BA166" i="22144"/>
  <c r="BA167" i="22144"/>
  <c r="BA168" i="22144"/>
  <c r="BA169" i="22144"/>
  <c r="BA170" i="22144"/>
  <c r="BA171" i="22144"/>
  <c r="BA172" i="22144"/>
  <c r="BA173" i="22144"/>
  <c r="BA174" i="22144"/>
  <c r="BA175" i="22144"/>
  <c r="BA176" i="22144"/>
  <c r="BA177" i="22144"/>
  <c r="BA178" i="22144"/>
  <c r="BA179" i="22144"/>
  <c r="BA180" i="22144"/>
  <c r="BA181" i="22144"/>
  <c r="BA182" i="22144"/>
  <c r="BA183" i="22144"/>
  <c r="BA184" i="22144"/>
  <c r="BA185" i="22144"/>
  <c r="BA186" i="22144"/>
  <c r="BA187" i="22144"/>
  <c r="BA188" i="22144"/>
  <c r="BA189" i="22144"/>
  <c r="BA190" i="22144"/>
  <c r="BA191" i="22144"/>
  <c r="BA192" i="22144"/>
  <c r="BA193" i="22144"/>
  <c r="BA194" i="22144"/>
  <c r="BA195" i="22144"/>
  <c r="BA196" i="22144"/>
  <c r="BA197" i="22144"/>
  <c r="BA198" i="22144"/>
  <c r="BA199" i="22144"/>
  <c r="BA200" i="22144"/>
  <c r="BA201" i="22144"/>
  <c r="BA202" i="22144"/>
  <c r="BA203" i="22144"/>
  <c r="BA204" i="22144"/>
  <c r="BA205" i="22144"/>
  <c r="BA206" i="22144"/>
  <c r="BA207" i="22144"/>
  <c r="BA208" i="22144"/>
  <c r="BA209" i="22144"/>
  <c r="BA210" i="22144"/>
  <c r="BA211" i="22144"/>
  <c r="BA212" i="22144"/>
  <c r="BA213" i="22144"/>
  <c r="BA214" i="22144"/>
  <c r="BA215" i="22144"/>
  <c r="BA216" i="22144"/>
  <c r="BA217" i="22144"/>
  <c r="BA218" i="22144"/>
  <c r="BA219" i="22144"/>
  <c r="BA220" i="22144"/>
  <c r="BA221" i="22144"/>
  <c r="BA222" i="22144"/>
  <c r="BA223" i="22144"/>
  <c r="BA224" i="22144"/>
  <c r="BA225" i="22144"/>
  <c r="BA226" i="22144"/>
  <c r="BA227" i="22144"/>
  <c r="BA228" i="22144"/>
  <c r="BA229" i="22144"/>
  <c r="BA230" i="22144"/>
  <c r="BA231" i="22144"/>
  <c r="BA232" i="22144"/>
  <c r="BA233" i="22144"/>
  <c r="BA234" i="22144"/>
  <c r="BA235" i="22144"/>
  <c r="BA236" i="22144"/>
  <c r="BA237" i="22144"/>
  <c r="BA238" i="22144"/>
  <c r="BA239" i="22144"/>
  <c r="BA240" i="22144"/>
  <c r="BA241" i="22144"/>
  <c r="BA242" i="22144"/>
  <c r="BA243" i="22144"/>
  <c r="BA244" i="22144"/>
  <c r="BA245" i="22144"/>
  <c r="BA246" i="22144"/>
  <c r="BA247" i="22144"/>
  <c r="BA248" i="22144"/>
  <c r="BA249" i="22144"/>
  <c r="BA250" i="22144"/>
  <c r="BA251" i="22144"/>
  <c r="BA252" i="22144"/>
  <c r="BA253" i="22144"/>
  <c r="BA254" i="22144"/>
  <c r="BA255" i="22144"/>
  <c r="BA256" i="22144"/>
  <c r="BA257" i="22144"/>
  <c r="BA258" i="22144"/>
  <c r="BA259" i="22144"/>
  <c r="BA260" i="22144"/>
  <c r="BA261" i="22144"/>
  <c r="BA262" i="22144"/>
  <c r="BA263" i="22144"/>
  <c r="BA264" i="22144"/>
  <c r="BA265" i="22144"/>
  <c r="BA266" i="22144"/>
  <c r="BA267" i="22144"/>
  <c r="BA268" i="22144"/>
  <c r="BA269" i="22144"/>
  <c r="BA270" i="22144"/>
  <c r="BA271" i="22144"/>
  <c r="BA272" i="22144"/>
  <c r="BA273" i="22144"/>
  <c r="BA274" i="22144"/>
  <c r="BA275" i="22144"/>
  <c r="BA276" i="22144"/>
  <c r="BA277" i="22144"/>
  <c r="BA278" i="22144"/>
  <c r="BA279" i="22144"/>
  <c r="BA280" i="22144"/>
  <c r="BA281" i="22144"/>
  <c r="BA282" i="22144"/>
  <c r="BA283" i="22144"/>
  <c r="BA284" i="22144"/>
  <c r="BA285" i="22144"/>
  <c r="BA286" i="22144"/>
  <c r="BA287" i="22144"/>
  <c r="BA288" i="22144"/>
  <c r="BA289" i="22144"/>
  <c r="BA290" i="22144"/>
  <c r="BA291" i="22144"/>
  <c r="BA292" i="22144"/>
  <c r="BA293" i="22144"/>
  <c r="BA294" i="22144"/>
  <c r="BA295" i="22144"/>
  <c r="BA296" i="22144"/>
  <c r="BA297" i="22144"/>
  <c r="BA298" i="22144"/>
  <c r="BA299" i="22144"/>
  <c r="BA300" i="22144"/>
  <c r="BA301" i="22144"/>
  <c r="BA302" i="22144"/>
  <c r="BA303" i="22144"/>
  <c r="BA304" i="22144"/>
  <c r="BA305" i="22144"/>
  <c r="BA306" i="22144"/>
  <c r="BA307" i="22144"/>
  <c r="BA308" i="22144"/>
  <c r="BA309" i="22144"/>
  <c r="BA310" i="22144"/>
  <c r="BA311" i="22144"/>
  <c r="BA312" i="22144"/>
  <c r="BA313" i="22144"/>
  <c r="BA314" i="22144"/>
  <c r="BA315" i="22144"/>
  <c r="BA316" i="22144"/>
  <c r="BA317" i="22144"/>
  <c r="BA318" i="22144"/>
  <c r="BA319" i="22144"/>
  <c r="BA320" i="22144"/>
  <c r="BA321" i="22144"/>
  <c r="BA322" i="22144"/>
  <c r="BA323" i="22144"/>
  <c r="BA324" i="22144"/>
  <c r="BA325" i="22144"/>
  <c r="BA326" i="22144"/>
  <c r="BA327" i="22144"/>
  <c r="BA328" i="22144"/>
  <c r="BA329" i="22144"/>
  <c r="BA330" i="22144"/>
  <c r="BA331" i="22144"/>
  <c r="BA332" i="22144"/>
  <c r="BA333" i="22144"/>
  <c r="BA334" i="22144"/>
  <c r="BA335" i="22144"/>
  <c r="BA336" i="22144"/>
  <c r="BA337" i="22144"/>
  <c r="BA338" i="22144"/>
  <c r="BA339" i="22144"/>
  <c r="BA340" i="22144"/>
  <c r="BA341" i="22144"/>
  <c r="BA342" i="22144"/>
  <c r="BA343" i="22144"/>
  <c r="BA344" i="22144"/>
  <c r="BA345" i="22144"/>
  <c r="BA346" i="22144"/>
  <c r="BA347" i="22144"/>
  <c r="BA348" i="22144"/>
  <c r="BA349" i="22144"/>
  <c r="BA350" i="22144"/>
  <c r="BA351" i="22144"/>
  <c r="BA352" i="22144"/>
  <c r="BA353" i="22144"/>
  <c r="BA354" i="22144"/>
  <c r="BA355" i="22144"/>
  <c r="BA356" i="22144"/>
  <c r="BA357" i="22144"/>
  <c r="BA358" i="22144"/>
  <c r="BA359" i="22144"/>
  <c r="BA360" i="22144"/>
  <c r="BA361" i="22144"/>
  <c r="BA362" i="22144"/>
  <c r="BA363" i="22144"/>
  <c r="BA364" i="22144"/>
  <c r="BA365" i="22144"/>
  <c r="BA366" i="22144"/>
  <c r="BA367" i="22144"/>
  <c r="BA368" i="22144"/>
  <c r="BA369" i="22144"/>
  <c r="BA370" i="22144"/>
  <c r="BA371" i="22144"/>
  <c r="BA372" i="22144"/>
  <c r="BA373" i="22144"/>
  <c r="BA374" i="22144"/>
  <c r="BA375" i="22144"/>
  <c r="BA376" i="22144"/>
  <c r="BA377" i="22144"/>
  <c r="BA378" i="22144"/>
  <c r="BA379" i="22144"/>
  <c r="BA380" i="22144"/>
  <c r="BA381" i="22144"/>
  <c r="BA382" i="22144"/>
  <c r="BA383" i="22144"/>
  <c r="BA384" i="22144"/>
  <c r="BA385" i="22144"/>
  <c r="BA386" i="22144"/>
  <c r="BA387" i="22144"/>
  <c r="BA388" i="22144"/>
  <c r="BA389" i="22144"/>
  <c r="BA390" i="22144"/>
  <c r="BA391" i="22144"/>
  <c r="BA392" i="22144"/>
  <c r="BA393" i="22144"/>
  <c r="BA394" i="22144"/>
  <c r="BA395" i="22144"/>
  <c r="BA396" i="22144"/>
  <c r="BA397" i="22144"/>
  <c r="BA398" i="22144"/>
  <c r="BA399" i="22144"/>
  <c r="BA400" i="22144"/>
  <c r="BA401" i="22144"/>
  <c r="BA402" i="22144"/>
  <c r="BA403" i="22144"/>
  <c r="BA404" i="22144"/>
  <c r="BA405" i="22144"/>
  <c r="BA406" i="22144"/>
  <c r="BA407" i="22144"/>
  <c r="BA408" i="22144"/>
  <c r="BA409" i="22144"/>
  <c r="BA410" i="22144"/>
  <c r="BA411" i="22144"/>
  <c r="BA412" i="22144"/>
  <c r="BA413" i="22144"/>
  <c r="BA414" i="22144"/>
  <c r="BA415" i="22144"/>
  <c r="BA416" i="22144"/>
  <c r="BA417" i="22144"/>
  <c r="BA418" i="22144"/>
  <c r="BA419" i="22144"/>
  <c r="BA420" i="22144"/>
  <c r="BA421" i="22144"/>
  <c r="BA422" i="22144"/>
  <c r="BA423" i="22144"/>
  <c r="BA424" i="22144"/>
  <c r="BA425" i="22144"/>
  <c r="BA426" i="22144"/>
  <c r="BA427" i="22144"/>
  <c r="BA428" i="22144"/>
  <c r="BA429" i="22144"/>
  <c r="BA430" i="22144"/>
  <c r="BA431" i="22144"/>
  <c r="BA432" i="22144"/>
  <c r="BA433" i="22144"/>
  <c r="BA434" i="22144"/>
  <c r="BA435" i="22144"/>
  <c r="BA436" i="22144"/>
  <c r="BA437" i="22144"/>
  <c r="BA438" i="22144"/>
  <c r="BA439" i="22144"/>
  <c r="BA440" i="22144"/>
  <c r="BA441" i="22144"/>
  <c r="BA442" i="22144"/>
  <c r="BA443" i="22144"/>
  <c r="BA444" i="22144"/>
  <c r="BA445" i="22144"/>
  <c r="BA446" i="22144"/>
  <c r="BA447" i="22144"/>
  <c r="BA448" i="22144"/>
  <c r="BA449" i="22144"/>
  <c r="BA450" i="22144"/>
  <c r="BA451" i="22144"/>
  <c r="BA452" i="22144"/>
  <c r="BA453" i="22144"/>
  <c r="BA6" i="22144"/>
  <c r="AC8" i="22144" l="1"/>
  <c r="AC9" i="22144"/>
  <c r="AC10" i="22144"/>
  <c r="AC11" i="22144"/>
  <c r="AC12" i="22144"/>
  <c r="AC13" i="22144"/>
  <c r="AC14" i="22144"/>
  <c r="AC15" i="22144"/>
  <c r="AC16" i="22144"/>
  <c r="AC17" i="22144"/>
  <c r="AC18" i="22144"/>
  <c r="AC19" i="22144"/>
  <c r="AC20" i="22144"/>
  <c r="AC21" i="22144"/>
  <c r="AC22" i="22144"/>
  <c r="AC23" i="22144"/>
  <c r="AC24" i="22144"/>
  <c r="AC25" i="22144"/>
  <c r="AC26" i="22144"/>
  <c r="AC27" i="22144"/>
  <c r="AC28" i="22144"/>
  <c r="AC29" i="22144"/>
  <c r="AC30" i="22144"/>
  <c r="AC31" i="22144"/>
  <c r="AC32" i="22144"/>
  <c r="AC33" i="22144"/>
  <c r="AC34" i="22144"/>
  <c r="AC35" i="22144"/>
  <c r="AC36" i="22144"/>
  <c r="AC37" i="22144"/>
  <c r="AC38" i="22144"/>
  <c r="AC39" i="22144"/>
  <c r="AC40" i="22144"/>
  <c r="AC41" i="22144"/>
  <c r="AC42" i="22144"/>
  <c r="AC43" i="22144"/>
  <c r="AC44" i="22144"/>
  <c r="AC45" i="22144"/>
  <c r="AC46" i="22144"/>
  <c r="AC47" i="22144"/>
  <c r="AC48" i="22144"/>
  <c r="AC49" i="22144"/>
  <c r="AC50" i="22144"/>
  <c r="AC51" i="22144"/>
  <c r="AC52" i="22144"/>
  <c r="AC53" i="22144"/>
  <c r="AC54" i="22144"/>
  <c r="AC55" i="22144"/>
  <c r="AC56" i="22144"/>
  <c r="AC57" i="22144"/>
  <c r="AC58" i="22144"/>
  <c r="AC59" i="22144"/>
  <c r="AC60" i="22144"/>
  <c r="AC61" i="22144"/>
  <c r="AC62" i="22144"/>
  <c r="AC64" i="22144"/>
  <c r="AC65" i="22144"/>
  <c r="AC66" i="22144"/>
  <c r="AC67" i="22144"/>
  <c r="AC68" i="22144"/>
  <c r="AC69" i="22144"/>
  <c r="AC70" i="22144"/>
  <c r="AC71" i="22144"/>
  <c r="AC72" i="22144"/>
  <c r="AC73" i="22144"/>
  <c r="AC74" i="22144"/>
  <c r="AC75" i="22144"/>
  <c r="AC76" i="22144"/>
  <c r="AC77" i="22144"/>
  <c r="AC78" i="22144"/>
  <c r="AC79" i="22144"/>
  <c r="AC80" i="22144"/>
  <c r="AC81" i="22144"/>
  <c r="AC82" i="22144"/>
  <c r="AC83" i="22144"/>
  <c r="AC84" i="22144"/>
  <c r="AC85" i="22144"/>
  <c r="AC86" i="22144"/>
  <c r="AC87" i="22144"/>
  <c r="AC88" i="22144"/>
  <c r="AC89" i="22144"/>
  <c r="AC90" i="22144"/>
  <c r="AC91" i="22144"/>
  <c r="AC92" i="22144"/>
  <c r="AC93" i="22144"/>
  <c r="AC94" i="22144"/>
  <c r="AC95" i="22144"/>
  <c r="AC96" i="22144"/>
  <c r="AC97" i="22144"/>
  <c r="AC98" i="22144"/>
  <c r="AC99" i="22144"/>
  <c r="AC100" i="22144"/>
  <c r="AC101" i="22144"/>
  <c r="AC102" i="22144"/>
  <c r="AC103" i="22144"/>
  <c r="AC104" i="22144"/>
  <c r="AC105" i="22144"/>
  <c r="AC106" i="22144"/>
  <c r="AC107" i="22144"/>
  <c r="AC108" i="22144"/>
  <c r="AC109" i="22144"/>
  <c r="AC110" i="22144"/>
  <c r="AC111" i="22144"/>
  <c r="AC112" i="22144"/>
  <c r="AC113" i="22144"/>
  <c r="AC114" i="22144"/>
  <c r="AC115" i="22144"/>
  <c r="AC116" i="22144"/>
  <c r="AC117" i="22144"/>
  <c r="AC118" i="22144"/>
  <c r="AC119" i="22144"/>
  <c r="AC120" i="22144"/>
  <c r="AC121" i="22144"/>
  <c r="AC122" i="22144"/>
  <c r="AC123" i="22144"/>
  <c r="AC124" i="22144"/>
  <c r="AC125" i="22144"/>
  <c r="AC126" i="22144"/>
  <c r="AC127" i="22144"/>
  <c r="AC128" i="22144"/>
  <c r="AC129" i="22144"/>
  <c r="AC130" i="22144"/>
  <c r="AC131" i="22144"/>
  <c r="AC132" i="22144"/>
  <c r="AC133" i="22144"/>
  <c r="AC134" i="22144"/>
  <c r="AC135" i="22144"/>
  <c r="AC136" i="22144"/>
  <c r="AC137" i="22144"/>
  <c r="AC138" i="22144"/>
  <c r="AC139" i="22144"/>
  <c r="AC140" i="22144"/>
  <c r="AC141" i="22144"/>
  <c r="AC142" i="22144"/>
  <c r="AC143" i="22144"/>
  <c r="AC144" i="22144"/>
  <c r="AC145" i="22144"/>
  <c r="AC146" i="22144"/>
  <c r="AC147" i="22144"/>
  <c r="AC148" i="22144"/>
  <c r="AC149" i="22144"/>
  <c r="AC150" i="22144"/>
  <c r="AC151" i="22144"/>
  <c r="AC152" i="22144"/>
  <c r="AC153" i="22144"/>
  <c r="AC154" i="22144"/>
  <c r="AC155" i="22144"/>
  <c r="AC156" i="22144"/>
  <c r="AC157" i="22144"/>
  <c r="AC158" i="22144"/>
  <c r="AC159" i="22144"/>
  <c r="AC160" i="22144"/>
  <c r="AC161" i="22144"/>
  <c r="AC162" i="22144"/>
  <c r="AC163" i="22144"/>
  <c r="AC164" i="22144"/>
  <c r="AC165" i="22144"/>
  <c r="AC166" i="22144"/>
  <c r="AC167" i="22144"/>
  <c r="AC168" i="22144"/>
  <c r="AC169" i="22144"/>
  <c r="AC170" i="22144"/>
  <c r="AC171" i="22144"/>
  <c r="AC172" i="22144"/>
  <c r="AC173" i="22144"/>
  <c r="AC174" i="22144"/>
  <c r="AC175" i="22144"/>
  <c r="AC176" i="22144"/>
  <c r="AC177" i="22144"/>
  <c r="AC178" i="22144"/>
  <c r="AC179" i="22144"/>
  <c r="AC180" i="22144"/>
  <c r="AC181" i="22144"/>
  <c r="AC182" i="22144"/>
  <c r="AC183" i="22144"/>
  <c r="AC184" i="22144"/>
  <c r="AC185" i="22144"/>
  <c r="AC186" i="22144"/>
  <c r="AC187" i="22144"/>
  <c r="AC188" i="22144"/>
  <c r="AC189" i="22144"/>
  <c r="AC190" i="22144"/>
  <c r="AC191" i="22144"/>
  <c r="AC192" i="22144"/>
  <c r="AC193" i="22144"/>
  <c r="AC194" i="22144"/>
  <c r="AC195" i="22144"/>
  <c r="AC196" i="22144"/>
  <c r="AC197" i="22144"/>
  <c r="AC198" i="22144"/>
  <c r="AC199" i="22144"/>
  <c r="AC200" i="22144"/>
  <c r="AC201" i="22144"/>
  <c r="AC202" i="22144"/>
  <c r="AC203" i="22144"/>
  <c r="AC204" i="22144"/>
  <c r="AC205" i="22144"/>
  <c r="AC206" i="22144"/>
  <c r="AC207" i="22144"/>
  <c r="AC208" i="22144"/>
  <c r="AC209" i="22144"/>
  <c r="AC210" i="22144"/>
  <c r="AC211" i="22144"/>
  <c r="AC212" i="22144"/>
  <c r="AC213" i="22144"/>
  <c r="AC214" i="22144"/>
  <c r="AC215" i="22144"/>
  <c r="AC216" i="22144"/>
  <c r="AC217" i="22144"/>
  <c r="AC218" i="22144"/>
  <c r="AC219" i="22144"/>
  <c r="AC220" i="22144"/>
  <c r="AC221" i="22144"/>
  <c r="AC222" i="22144"/>
  <c r="AC223" i="22144"/>
  <c r="AC224" i="22144"/>
  <c r="AC225" i="22144"/>
  <c r="AC226" i="22144"/>
  <c r="AC227" i="22144"/>
  <c r="AC228" i="22144"/>
  <c r="AC229" i="22144"/>
  <c r="AC230" i="22144"/>
  <c r="AC231" i="22144"/>
  <c r="AC232" i="22144"/>
  <c r="AC233" i="22144"/>
  <c r="AC234" i="22144"/>
  <c r="AC235" i="22144"/>
  <c r="AC236" i="22144"/>
  <c r="AC237" i="22144"/>
  <c r="AC238" i="22144"/>
  <c r="AC239" i="22144"/>
  <c r="AC240" i="22144"/>
  <c r="AC241" i="22144"/>
  <c r="AC242" i="22144"/>
  <c r="AC243" i="22144"/>
  <c r="AC244" i="22144"/>
  <c r="AC245" i="22144"/>
  <c r="AC246" i="22144"/>
  <c r="AC247" i="22144"/>
  <c r="AC248" i="22144"/>
  <c r="AC249" i="22144"/>
  <c r="AC250" i="22144"/>
  <c r="AC251" i="22144"/>
  <c r="AC252" i="22144"/>
  <c r="AC253" i="22144"/>
  <c r="AC254" i="22144"/>
  <c r="AC255" i="22144"/>
  <c r="AC256" i="22144"/>
  <c r="AC257" i="22144"/>
  <c r="AC258" i="22144"/>
  <c r="AC259" i="22144"/>
  <c r="AC260" i="22144"/>
  <c r="AC261" i="22144"/>
  <c r="AC262" i="22144"/>
  <c r="AC263" i="22144"/>
  <c r="AC264" i="22144"/>
  <c r="AC265" i="22144"/>
  <c r="AC266" i="22144"/>
  <c r="AC267" i="22144"/>
  <c r="AC268" i="22144"/>
  <c r="AC269" i="22144"/>
  <c r="AC270" i="22144"/>
  <c r="AC271" i="22144"/>
  <c r="AC272" i="22144"/>
  <c r="AC273" i="22144"/>
  <c r="AC274" i="22144"/>
  <c r="AC275" i="22144"/>
  <c r="AC276" i="22144"/>
  <c r="AC277" i="22144"/>
  <c r="AC278" i="22144"/>
  <c r="AC279" i="22144"/>
  <c r="AC280" i="22144"/>
  <c r="AC281" i="22144"/>
  <c r="AC282" i="22144"/>
  <c r="AC284" i="22144"/>
  <c r="AC285" i="22144"/>
  <c r="AC286" i="22144"/>
  <c r="AC287" i="22144"/>
  <c r="AC288" i="22144"/>
  <c r="AC289" i="22144"/>
  <c r="AC290" i="22144"/>
  <c r="AC291" i="22144"/>
  <c r="AC292" i="22144"/>
  <c r="AC293" i="22144"/>
  <c r="AC294" i="22144"/>
  <c r="AC295" i="22144"/>
  <c r="AC296" i="22144"/>
  <c r="AC297" i="22144"/>
  <c r="AC298" i="22144"/>
  <c r="AC299" i="22144"/>
  <c r="AC300" i="22144"/>
  <c r="AC301" i="22144"/>
  <c r="AC302" i="22144"/>
  <c r="AC303" i="22144"/>
  <c r="AC304" i="22144"/>
  <c r="AC305" i="22144"/>
  <c r="AC306" i="22144"/>
  <c r="AC307" i="22144"/>
  <c r="AC308" i="22144"/>
  <c r="AC309" i="22144"/>
  <c r="AC310" i="22144"/>
  <c r="AC311" i="22144"/>
  <c r="AC312" i="22144"/>
  <c r="AC313" i="22144"/>
  <c r="AC314" i="22144"/>
  <c r="AC315" i="22144"/>
  <c r="AC316" i="22144"/>
  <c r="AC317" i="22144"/>
  <c r="AC318" i="22144"/>
  <c r="AC319" i="22144"/>
  <c r="AC320" i="22144"/>
  <c r="AC321" i="22144"/>
  <c r="AC322" i="22144"/>
  <c r="AC323" i="22144"/>
  <c r="AC324" i="22144"/>
  <c r="AC325" i="22144"/>
  <c r="AC326" i="22144"/>
  <c r="AC327" i="22144"/>
  <c r="AC328" i="22144"/>
  <c r="AC329" i="22144"/>
  <c r="AC330" i="22144"/>
  <c r="AC331" i="22144"/>
  <c r="AC332" i="22144"/>
  <c r="AC333" i="22144"/>
  <c r="AC334" i="22144"/>
  <c r="AC335" i="22144"/>
  <c r="AC336" i="22144"/>
  <c r="AC337" i="22144"/>
  <c r="AC338" i="22144"/>
  <c r="AC339" i="22144"/>
  <c r="AC340" i="22144"/>
  <c r="AC341" i="22144"/>
  <c r="AC342" i="22144"/>
  <c r="AC343" i="22144"/>
  <c r="AC344" i="22144"/>
  <c r="AC345" i="22144"/>
  <c r="AC346" i="22144"/>
  <c r="AC347" i="22144"/>
  <c r="AC348" i="22144"/>
  <c r="AC349" i="22144"/>
  <c r="AC350" i="22144"/>
  <c r="AC351" i="22144"/>
  <c r="AC352" i="22144"/>
  <c r="AC353" i="22144"/>
  <c r="AC354" i="22144"/>
  <c r="AC355" i="22144"/>
  <c r="AC356" i="22144"/>
  <c r="AC357" i="22144"/>
  <c r="AC358" i="22144"/>
  <c r="AC359" i="22144"/>
  <c r="AC360" i="22144"/>
  <c r="AC361" i="22144"/>
  <c r="AC362" i="22144"/>
  <c r="AC363" i="22144"/>
  <c r="AC364" i="22144"/>
  <c r="AC365" i="22144"/>
  <c r="AC366" i="22144"/>
  <c r="AC367" i="22144"/>
  <c r="AC368" i="22144"/>
  <c r="AC369" i="22144"/>
  <c r="AC370" i="22144"/>
  <c r="AC371" i="22144"/>
  <c r="AC372" i="22144"/>
  <c r="AC373" i="22144"/>
  <c r="AC374" i="22144"/>
  <c r="AC375" i="22144"/>
  <c r="AC376" i="22144"/>
  <c r="AC377" i="22144"/>
  <c r="AC378" i="22144"/>
  <c r="AC379" i="22144"/>
  <c r="AC380" i="22144"/>
  <c r="AC381" i="22144"/>
  <c r="AC382" i="22144"/>
  <c r="AC383" i="22144"/>
  <c r="AC384" i="22144"/>
  <c r="AC385" i="22144"/>
  <c r="AC386" i="22144"/>
  <c r="AC387" i="22144"/>
  <c r="AC388" i="22144"/>
  <c r="AC389" i="22144"/>
  <c r="AC390" i="22144"/>
  <c r="AC391" i="22144"/>
  <c r="AC392" i="22144"/>
  <c r="AC393" i="22144"/>
  <c r="AC394" i="22144"/>
  <c r="AC395" i="22144"/>
  <c r="AC396" i="22144"/>
  <c r="AC397" i="22144"/>
  <c r="AC398" i="22144"/>
  <c r="AC399" i="22144"/>
  <c r="AC400" i="22144"/>
  <c r="AC401" i="22144"/>
  <c r="AC402" i="22144"/>
  <c r="AC403" i="22144"/>
  <c r="AC404" i="22144"/>
  <c r="AC405" i="22144"/>
  <c r="AC406" i="22144"/>
  <c r="AC407" i="22144"/>
  <c r="AC408" i="22144"/>
  <c r="AC409" i="22144"/>
  <c r="AC410" i="22144"/>
  <c r="AC411" i="22144"/>
  <c r="AC412" i="22144"/>
  <c r="AC413" i="22144"/>
  <c r="AC414" i="22144"/>
  <c r="AC415" i="22144"/>
  <c r="AC416" i="22144"/>
  <c r="AC417" i="22144"/>
  <c r="AC418" i="22144"/>
  <c r="AC419" i="22144"/>
  <c r="AC420" i="22144"/>
  <c r="AC422" i="22144"/>
  <c r="AC423" i="22144"/>
  <c r="AC424" i="22144"/>
  <c r="AC425" i="22144"/>
  <c r="AC426" i="22144"/>
  <c r="AC427" i="22144"/>
  <c r="AC428" i="22144"/>
  <c r="AC429" i="22144"/>
  <c r="AC430" i="22144"/>
  <c r="AC431" i="22144"/>
  <c r="AC432" i="22144"/>
  <c r="AC433" i="22144"/>
  <c r="AC434" i="22144"/>
  <c r="AC435" i="22144"/>
  <c r="AC436" i="22144"/>
  <c r="AC437" i="22144"/>
  <c r="AC438" i="22144"/>
  <c r="AC439" i="22144"/>
  <c r="AC440" i="22144"/>
  <c r="AC441" i="22144"/>
  <c r="AC442" i="22144"/>
  <c r="AC443" i="22144"/>
  <c r="AC444" i="22144"/>
  <c r="AC445" i="22144"/>
  <c r="AC446" i="22144"/>
  <c r="AC447" i="22144"/>
  <c r="AC448" i="22144"/>
  <c r="AC449" i="22144"/>
  <c r="AC450" i="22144"/>
  <c r="AC451" i="22144"/>
  <c r="AC452" i="22144"/>
  <c r="AC453" i="22144"/>
  <c r="AC7" i="22144"/>
  <c r="AC6" i="22144"/>
  <c r="AB8" i="22144"/>
  <c r="AB9" i="22144"/>
  <c r="AB10" i="22144"/>
  <c r="AB11" i="22144"/>
  <c r="AB12" i="22144"/>
  <c r="AB13" i="22144"/>
  <c r="AB14" i="22144"/>
  <c r="AB15" i="22144"/>
  <c r="AB16" i="22144"/>
  <c r="AB17" i="22144"/>
  <c r="AB18" i="22144"/>
  <c r="AB19" i="22144"/>
  <c r="AB20" i="22144"/>
  <c r="AB21" i="22144"/>
  <c r="AB22" i="22144"/>
  <c r="AB23" i="22144"/>
  <c r="AB24" i="22144"/>
  <c r="AB25" i="22144"/>
  <c r="AB26" i="22144"/>
  <c r="AB27" i="22144"/>
  <c r="AB28" i="22144"/>
  <c r="AB29" i="22144"/>
  <c r="AB30" i="22144"/>
  <c r="AB31" i="22144"/>
  <c r="AB32" i="22144"/>
  <c r="AB33" i="22144"/>
  <c r="AB34" i="22144"/>
  <c r="AB35" i="22144"/>
  <c r="AB36" i="22144"/>
  <c r="AB37" i="22144"/>
  <c r="AB38" i="22144"/>
  <c r="AB39" i="22144"/>
  <c r="AB40" i="22144"/>
  <c r="AB41" i="22144"/>
  <c r="AB42" i="22144"/>
  <c r="AB43" i="22144"/>
  <c r="AB44" i="22144"/>
  <c r="AB45" i="22144"/>
  <c r="AB46" i="22144"/>
  <c r="AB47" i="22144"/>
  <c r="AB48" i="22144"/>
  <c r="AB49" i="22144"/>
  <c r="AB50" i="22144"/>
  <c r="AB51" i="22144"/>
  <c r="AB52" i="22144"/>
  <c r="AB53" i="22144"/>
  <c r="AB54" i="22144"/>
  <c r="AB55" i="22144"/>
  <c r="AB56" i="22144"/>
  <c r="AB57" i="22144"/>
  <c r="AB58" i="22144"/>
  <c r="AB59" i="22144"/>
  <c r="AB60" i="22144"/>
  <c r="AB61" i="22144"/>
  <c r="AB62" i="22144"/>
  <c r="AB64" i="22144"/>
  <c r="AB65" i="22144"/>
  <c r="AB66" i="22144"/>
  <c r="AB67" i="22144"/>
  <c r="AB68" i="22144"/>
  <c r="AB69" i="22144"/>
  <c r="AB70" i="22144"/>
  <c r="AB71" i="22144"/>
  <c r="AB72" i="22144"/>
  <c r="AB73" i="22144"/>
  <c r="AB74" i="22144"/>
  <c r="AB75" i="22144"/>
  <c r="AB76" i="22144"/>
  <c r="AB77" i="22144"/>
  <c r="AB78" i="22144"/>
  <c r="AB79" i="22144"/>
  <c r="AB80" i="22144"/>
  <c r="AB81" i="22144"/>
  <c r="AB82" i="22144"/>
  <c r="AB83" i="22144"/>
  <c r="AB84" i="22144"/>
  <c r="AB85" i="22144"/>
  <c r="AB86" i="22144"/>
  <c r="AB87" i="22144"/>
  <c r="AB88" i="22144"/>
  <c r="AB89" i="22144"/>
  <c r="AB90" i="22144"/>
  <c r="AB91" i="22144"/>
  <c r="AB92" i="22144"/>
  <c r="AB93" i="22144"/>
  <c r="AB94" i="22144"/>
  <c r="AB95" i="22144"/>
  <c r="AB96" i="22144"/>
  <c r="AB97" i="22144"/>
  <c r="AB98" i="22144"/>
  <c r="AB99" i="22144"/>
  <c r="AB100" i="22144"/>
  <c r="AB101" i="22144"/>
  <c r="AB102" i="22144"/>
  <c r="AB103" i="22144"/>
  <c r="AB104" i="22144"/>
  <c r="AB105" i="22144"/>
  <c r="AB106" i="22144"/>
  <c r="AB107" i="22144"/>
  <c r="AB108" i="22144"/>
  <c r="AB109" i="22144"/>
  <c r="AB110" i="22144"/>
  <c r="AB111" i="22144"/>
  <c r="AB112" i="22144"/>
  <c r="AB113" i="22144"/>
  <c r="AB114" i="22144"/>
  <c r="AB115" i="22144"/>
  <c r="AB116" i="22144"/>
  <c r="AB117" i="22144"/>
  <c r="AB118" i="22144"/>
  <c r="AB119" i="22144"/>
  <c r="AB120" i="22144"/>
  <c r="AB121" i="22144"/>
  <c r="AB122" i="22144"/>
  <c r="AB123" i="22144"/>
  <c r="AB124" i="22144"/>
  <c r="AB125" i="22144"/>
  <c r="AB126" i="22144"/>
  <c r="AB127" i="22144"/>
  <c r="AB128" i="22144"/>
  <c r="AB129" i="22144"/>
  <c r="AB130" i="22144"/>
  <c r="AB131" i="22144"/>
  <c r="AB132" i="22144"/>
  <c r="AB133" i="22144"/>
  <c r="AB134" i="22144"/>
  <c r="AB135" i="22144"/>
  <c r="AB136" i="22144"/>
  <c r="AB137" i="22144"/>
  <c r="AB138" i="22144"/>
  <c r="AB139" i="22144"/>
  <c r="AB140" i="22144"/>
  <c r="AB141" i="22144"/>
  <c r="AB142" i="22144"/>
  <c r="AB143" i="22144"/>
  <c r="AB144" i="22144"/>
  <c r="AB145" i="22144"/>
  <c r="AB146" i="22144"/>
  <c r="AB147" i="22144"/>
  <c r="AB148" i="22144"/>
  <c r="AB149" i="22144"/>
  <c r="AB150" i="22144"/>
  <c r="AB151" i="22144"/>
  <c r="AB152" i="22144"/>
  <c r="AB153" i="22144"/>
  <c r="AB154" i="22144"/>
  <c r="AB155" i="22144"/>
  <c r="AB156" i="22144"/>
  <c r="AB157" i="22144"/>
  <c r="AB158" i="22144"/>
  <c r="AB159" i="22144"/>
  <c r="AB160" i="22144"/>
  <c r="AB161" i="22144"/>
  <c r="AB162" i="22144"/>
  <c r="AB163" i="22144"/>
  <c r="AB164" i="22144"/>
  <c r="AB165" i="22144"/>
  <c r="AB166" i="22144"/>
  <c r="AB167" i="22144"/>
  <c r="AB168" i="22144"/>
  <c r="AB169" i="22144"/>
  <c r="AB170" i="22144"/>
  <c r="AB171" i="22144"/>
  <c r="AB172" i="22144"/>
  <c r="AB173" i="22144"/>
  <c r="AB174" i="22144"/>
  <c r="AB175" i="22144"/>
  <c r="AB176" i="22144"/>
  <c r="AB177" i="22144"/>
  <c r="AB178" i="22144"/>
  <c r="AB179" i="22144"/>
  <c r="AB180" i="22144"/>
  <c r="AB181" i="22144"/>
  <c r="AB182" i="22144"/>
  <c r="AB183" i="22144"/>
  <c r="AB184" i="22144"/>
  <c r="AB185" i="22144"/>
  <c r="AB186" i="22144"/>
  <c r="AB187" i="22144"/>
  <c r="AB188" i="22144"/>
  <c r="AB189" i="22144"/>
  <c r="AB190" i="22144"/>
  <c r="AB191" i="22144"/>
  <c r="AB192" i="22144"/>
  <c r="AB193" i="22144"/>
  <c r="AB194" i="22144"/>
  <c r="AB195" i="22144"/>
  <c r="AB196" i="22144"/>
  <c r="AB197" i="22144"/>
  <c r="AB198" i="22144"/>
  <c r="AB199" i="22144"/>
  <c r="AB200" i="22144"/>
  <c r="AB201" i="22144"/>
  <c r="AB202" i="22144"/>
  <c r="AB203" i="22144"/>
  <c r="AB204" i="22144"/>
  <c r="AB205" i="22144"/>
  <c r="AB206" i="22144"/>
  <c r="AB207" i="22144"/>
  <c r="AB208" i="22144"/>
  <c r="AB209" i="22144"/>
  <c r="AB210" i="22144"/>
  <c r="AB211" i="22144"/>
  <c r="AB212" i="22144"/>
  <c r="AB213" i="22144"/>
  <c r="AB214" i="22144"/>
  <c r="AB215" i="22144"/>
  <c r="AB216" i="22144"/>
  <c r="AB217" i="22144"/>
  <c r="AB218" i="22144"/>
  <c r="AB219" i="22144"/>
  <c r="AB220" i="22144"/>
  <c r="AB221" i="22144"/>
  <c r="AB222" i="22144"/>
  <c r="AB223" i="22144"/>
  <c r="AB224" i="22144"/>
  <c r="AB225" i="22144"/>
  <c r="AB226" i="22144"/>
  <c r="AB227" i="22144"/>
  <c r="AB228" i="22144"/>
  <c r="AB229" i="22144"/>
  <c r="AB230" i="22144"/>
  <c r="AB231" i="22144"/>
  <c r="AB232" i="22144"/>
  <c r="AB233" i="22144"/>
  <c r="AB234" i="22144"/>
  <c r="AB235" i="22144"/>
  <c r="AB236" i="22144"/>
  <c r="AB237" i="22144"/>
  <c r="AB238" i="22144"/>
  <c r="AB239" i="22144"/>
  <c r="AB240" i="22144"/>
  <c r="AB241" i="22144"/>
  <c r="AB242" i="22144"/>
  <c r="AB243" i="22144"/>
  <c r="AB244" i="22144"/>
  <c r="AB245" i="22144"/>
  <c r="AB246" i="22144"/>
  <c r="AB247" i="22144"/>
  <c r="AB248" i="22144"/>
  <c r="AB249" i="22144"/>
  <c r="AB250" i="22144"/>
  <c r="AB251" i="22144"/>
  <c r="AB252" i="22144"/>
  <c r="AB253" i="22144"/>
  <c r="AB254" i="22144"/>
  <c r="AB255" i="22144"/>
  <c r="AB256" i="22144"/>
  <c r="AB257" i="22144"/>
  <c r="AB258" i="22144"/>
  <c r="AB259" i="22144"/>
  <c r="AB260" i="22144"/>
  <c r="AB261" i="22144"/>
  <c r="AB262" i="22144"/>
  <c r="AB263" i="22144"/>
  <c r="AB264" i="22144"/>
  <c r="AB265" i="22144"/>
  <c r="AB266" i="22144"/>
  <c r="AB267" i="22144"/>
  <c r="AB268" i="22144"/>
  <c r="AB269" i="22144"/>
  <c r="AB270" i="22144"/>
  <c r="AB271" i="22144"/>
  <c r="AB272" i="22144"/>
  <c r="AB273" i="22144"/>
  <c r="AB274" i="22144"/>
  <c r="AB275" i="22144"/>
  <c r="AB276" i="22144"/>
  <c r="AB277" i="22144"/>
  <c r="AB278" i="22144"/>
  <c r="AB279" i="22144"/>
  <c r="AB280" i="22144"/>
  <c r="AB281" i="22144"/>
  <c r="AB282" i="22144"/>
  <c r="AB284" i="22144"/>
  <c r="AB285" i="22144"/>
  <c r="AB286" i="22144"/>
  <c r="AB287" i="22144"/>
  <c r="AB288" i="22144"/>
  <c r="AB289" i="22144"/>
  <c r="AB290" i="22144"/>
  <c r="AB291" i="22144"/>
  <c r="AB292" i="22144"/>
  <c r="AB293" i="22144"/>
  <c r="AB294" i="22144"/>
  <c r="AB295" i="22144"/>
  <c r="AB296" i="22144"/>
  <c r="AB297" i="22144"/>
  <c r="AB298" i="22144"/>
  <c r="AB299" i="22144"/>
  <c r="AB300" i="22144"/>
  <c r="AB301" i="22144"/>
  <c r="AB302" i="22144"/>
  <c r="AB303" i="22144"/>
  <c r="AB304" i="22144"/>
  <c r="AB305" i="22144"/>
  <c r="AB306" i="22144"/>
  <c r="AB307" i="22144"/>
  <c r="AB308" i="22144"/>
  <c r="AB309" i="22144"/>
  <c r="AB310" i="22144"/>
  <c r="AB311" i="22144"/>
  <c r="AB312" i="22144"/>
  <c r="AB313" i="22144"/>
  <c r="AB314" i="22144"/>
  <c r="AB315" i="22144"/>
  <c r="AB316" i="22144"/>
  <c r="AB317" i="22144"/>
  <c r="AB318" i="22144"/>
  <c r="AB319" i="22144"/>
  <c r="AB320" i="22144"/>
  <c r="AB321" i="22144"/>
  <c r="AB322" i="22144"/>
  <c r="AB323" i="22144"/>
  <c r="AB324" i="22144"/>
  <c r="AB325" i="22144"/>
  <c r="AB326" i="22144"/>
  <c r="AB327" i="22144"/>
  <c r="AB328" i="22144"/>
  <c r="AB329" i="22144"/>
  <c r="AB330" i="22144"/>
  <c r="AB331" i="22144"/>
  <c r="AB332" i="22144"/>
  <c r="AB333" i="22144"/>
  <c r="AB334" i="22144"/>
  <c r="AB335" i="22144"/>
  <c r="AB336" i="22144"/>
  <c r="AB337" i="22144"/>
  <c r="AB338" i="22144"/>
  <c r="AB339" i="22144"/>
  <c r="AB340" i="22144"/>
  <c r="AB341" i="22144"/>
  <c r="AB342" i="22144"/>
  <c r="AB343" i="22144"/>
  <c r="AB344" i="22144"/>
  <c r="AB345" i="22144"/>
  <c r="AB346" i="22144"/>
  <c r="AB347" i="22144"/>
  <c r="AB348" i="22144"/>
  <c r="AB349" i="22144"/>
  <c r="AB350" i="22144"/>
  <c r="AB351" i="22144"/>
  <c r="AB352" i="22144"/>
  <c r="AB353" i="22144"/>
  <c r="AB354" i="22144"/>
  <c r="AB355" i="22144"/>
  <c r="AB356" i="22144"/>
  <c r="AB357" i="22144"/>
  <c r="AB358" i="22144"/>
  <c r="AB359" i="22144"/>
  <c r="AB360" i="22144"/>
  <c r="AB361" i="22144"/>
  <c r="AB362" i="22144"/>
  <c r="AB363" i="22144"/>
  <c r="AB364" i="22144"/>
  <c r="AB365" i="22144"/>
  <c r="AB366" i="22144"/>
  <c r="AB367" i="22144"/>
  <c r="AB368" i="22144"/>
  <c r="AB369" i="22144"/>
  <c r="AB370" i="22144"/>
  <c r="AB371" i="22144"/>
  <c r="AB372" i="22144"/>
  <c r="AB373" i="22144"/>
  <c r="AB374" i="22144"/>
  <c r="AB375" i="22144"/>
  <c r="AB376" i="22144"/>
  <c r="AB377" i="22144"/>
  <c r="AB378" i="22144"/>
  <c r="AB379" i="22144"/>
  <c r="AB380" i="22144"/>
  <c r="AB381" i="22144"/>
  <c r="AB382" i="22144"/>
  <c r="AB383" i="22144"/>
  <c r="AB384" i="22144"/>
  <c r="AB385" i="22144"/>
  <c r="AB386" i="22144"/>
  <c r="AB387" i="22144"/>
  <c r="AB388" i="22144"/>
  <c r="AB389" i="22144"/>
  <c r="AB390" i="22144"/>
  <c r="AB391" i="22144"/>
  <c r="AB392" i="22144"/>
  <c r="AB393" i="22144"/>
  <c r="AB394" i="22144"/>
  <c r="AB395" i="22144"/>
  <c r="AB396" i="22144"/>
  <c r="AB397" i="22144"/>
  <c r="AB398" i="22144"/>
  <c r="AB399" i="22144"/>
  <c r="AB400" i="22144"/>
  <c r="AB401" i="22144"/>
  <c r="AB402" i="22144"/>
  <c r="AB403" i="22144"/>
  <c r="AB404" i="22144"/>
  <c r="AB405" i="22144"/>
  <c r="AB406" i="22144"/>
  <c r="AB407" i="22144"/>
  <c r="AB408" i="22144"/>
  <c r="AB409" i="22144"/>
  <c r="AB410" i="22144"/>
  <c r="AB411" i="22144"/>
  <c r="AB412" i="22144"/>
  <c r="AB413" i="22144"/>
  <c r="AB414" i="22144"/>
  <c r="AB415" i="22144"/>
  <c r="AB416" i="22144"/>
  <c r="AB417" i="22144"/>
  <c r="AB418" i="22144"/>
  <c r="AB419" i="22144"/>
  <c r="AB420" i="22144"/>
  <c r="AB422" i="22144"/>
  <c r="AB423" i="22144"/>
  <c r="AB424" i="22144"/>
  <c r="AB425" i="22144"/>
  <c r="AB426" i="22144"/>
  <c r="AB427" i="22144"/>
  <c r="AB428" i="22144"/>
  <c r="AB429" i="22144"/>
  <c r="AB430" i="22144"/>
  <c r="AB431" i="22144"/>
  <c r="AB432" i="22144"/>
  <c r="AB433" i="22144"/>
  <c r="AB434" i="22144"/>
  <c r="AB435" i="22144"/>
  <c r="AB436" i="22144"/>
  <c r="AB437" i="22144"/>
  <c r="AB438" i="22144"/>
  <c r="AB439" i="22144"/>
  <c r="AB440" i="22144"/>
  <c r="AB441" i="22144"/>
  <c r="AB442" i="22144"/>
  <c r="AB443" i="22144"/>
  <c r="AB444" i="22144"/>
  <c r="AB445" i="22144"/>
  <c r="AB446" i="22144"/>
  <c r="AB447" i="22144"/>
  <c r="AB448" i="22144"/>
  <c r="AB449" i="22144"/>
  <c r="AB450" i="22144"/>
  <c r="AB451" i="22144"/>
  <c r="AB452" i="22144"/>
  <c r="AB453" i="22144"/>
  <c r="AB7" i="22144"/>
  <c r="AB6" i="22144"/>
  <c r="Z8" i="22144"/>
  <c r="Z9" i="22144"/>
  <c r="Z10" i="22144"/>
  <c r="Z11" i="22144"/>
  <c r="Z12" i="22144"/>
  <c r="Z13" i="22144"/>
  <c r="Z15" i="22144"/>
  <c r="Z17" i="22144"/>
  <c r="Z18" i="22144"/>
  <c r="Z19" i="22144"/>
  <c r="Z20" i="22144"/>
  <c r="Z21" i="22144"/>
  <c r="Z22" i="22144"/>
  <c r="Z23" i="22144"/>
  <c r="Z24" i="22144"/>
  <c r="Z25" i="22144"/>
  <c r="Z26" i="22144"/>
  <c r="Z27" i="22144"/>
  <c r="Z28" i="22144"/>
  <c r="Z29" i="22144"/>
  <c r="Z30" i="22144"/>
  <c r="Z31" i="22144"/>
  <c r="Z32" i="22144"/>
  <c r="Z33" i="22144"/>
  <c r="Z34" i="22144"/>
  <c r="Z35" i="22144"/>
  <c r="Z36" i="22144"/>
  <c r="Z37" i="22144"/>
  <c r="Z38" i="22144"/>
  <c r="Z39" i="22144"/>
  <c r="Z40" i="22144"/>
  <c r="Z41" i="22144"/>
  <c r="Z42" i="22144"/>
  <c r="Z44" i="22144"/>
  <c r="Z45" i="22144"/>
  <c r="Z46" i="22144"/>
  <c r="Z47" i="22144"/>
  <c r="Z48" i="22144"/>
  <c r="Z49" i="22144"/>
  <c r="Z50" i="22144"/>
  <c r="Z51" i="22144"/>
  <c r="Z52" i="22144"/>
  <c r="Z53" i="22144"/>
  <c r="Z54" i="22144"/>
  <c r="Z56" i="22144"/>
  <c r="Z58" i="22144"/>
  <c r="Z59" i="22144"/>
  <c r="Z61" i="22144"/>
  <c r="Z62" i="22144"/>
  <c r="Z63" i="22144"/>
  <c r="Z64" i="22144"/>
  <c r="Z65" i="22144"/>
  <c r="Z66" i="22144"/>
  <c r="Z67" i="22144"/>
  <c r="Z69" i="22144"/>
  <c r="Z70" i="22144"/>
  <c r="Z71" i="22144"/>
  <c r="Z72" i="22144"/>
  <c r="Z75" i="22144"/>
  <c r="Z76" i="22144"/>
  <c r="Z77" i="22144"/>
  <c r="Z78" i="22144"/>
  <c r="Z79" i="22144"/>
  <c r="Z80" i="22144"/>
  <c r="Z81" i="22144"/>
  <c r="Z83" i="22144"/>
  <c r="Z84" i="22144"/>
  <c r="Z85" i="22144"/>
  <c r="Z86" i="22144"/>
  <c r="Z87" i="22144"/>
  <c r="Z88" i="22144"/>
  <c r="Z89" i="22144"/>
  <c r="Z90" i="22144"/>
  <c r="Z91" i="22144"/>
  <c r="Z93" i="22144"/>
  <c r="Z94" i="22144"/>
  <c r="Z95" i="22144"/>
  <c r="Z96" i="22144"/>
  <c r="Z97" i="22144"/>
  <c r="Z98" i="22144"/>
  <c r="Z99" i="22144"/>
  <c r="Z100" i="22144"/>
  <c r="Z101" i="22144"/>
  <c r="Z102" i="22144"/>
  <c r="Z103" i="22144"/>
  <c r="Z104" i="22144"/>
  <c r="Z105" i="22144"/>
  <c r="Z107" i="22144"/>
  <c r="Z108" i="22144"/>
  <c r="Z109" i="22144"/>
  <c r="Z111" i="22144"/>
  <c r="Z115" i="22144"/>
  <c r="Z117" i="22144"/>
  <c r="Z118" i="22144"/>
  <c r="Z119" i="22144"/>
  <c r="Z120" i="22144"/>
  <c r="Z121" i="22144"/>
  <c r="Z122" i="22144"/>
  <c r="Z123" i="22144"/>
  <c r="Z125" i="22144"/>
  <c r="Z126" i="22144"/>
  <c r="Z127" i="22144"/>
  <c r="Z128" i="22144"/>
  <c r="Z129" i="22144"/>
  <c r="Z130" i="22144"/>
  <c r="Z131" i="22144"/>
  <c r="Z133" i="22144"/>
  <c r="Z134" i="22144"/>
  <c r="Z135" i="22144"/>
  <c r="Z136" i="22144"/>
  <c r="Z138" i="22144"/>
  <c r="Z139" i="22144"/>
  <c r="Z140" i="22144"/>
  <c r="Z141" i="22144"/>
  <c r="Z142" i="22144"/>
  <c r="Z143" i="22144"/>
  <c r="Z144" i="22144"/>
  <c r="Z145" i="22144"/>
  <c r="Z146" i="22144"/>
  <c r="Z147" i="22144"/>
  <c r="Z148" i="22144"/>
  <c r="Z149" i="22144"/>
  <c r="Z150" i="22144"/>
  <c r="Z151" i="22144"/>
  <c r="Z152" i="22144"/>
  <c r="Z153" i="22144"/>
  <c r="Z154" i="22144"/>
  <c r="Z155" i="22144"/>
  <c r="Z156" i="22144"/>
  <c r="Z157" i="22144"/>
  <c r="Z158" i="22144"/>
  <c r="Z159" i="22144"/>
  <c r="Z160" i="22144"/>
  <c r="Z161" i="22144"/>
  <c r="Z162" i="22144"/>
  <c r="Z164" i="22144"/>
  <c r="Z165" i="22144"/>
  <c r="Z166" i="22144"/>
  <c r="Z167" i="22144"/>
  <c r="Z168" i="22144"/>
  <c r="Z169" i="22144"/>
  <c r="Z170" i="22144"/>
  <c r="Z171" i="22144"/>
  <c r="Z172" i="22144"/>
  <c r="Z173" i="22144"/>
  <c r="Z174" i="22144"/>
  <c r="Z175" i="22144"/>
  <c r="Z176" i="22144"/>
  <c r="Z177" i="22144"/>
  <c r="Z178" i="22144"/>
  <c r="Z179" i="22144"/>
  <c r="Z180" i="22144"/>
  <c r="Z181" i="22144"/>
  <c r="Z182" i="22144"/>
  <c r="Z184" i="22144"/>
  <c r="Z185" i="22144"/>
  <c r="Z186" i="22144"/>
  <c r="Z187" i="22144"/>
  <c r="Z188" i="22144"/>
  <c r="Z189" i="22144"/>
  <c r="Z190" i="22144"/>
  <c r="Z191" i="22144"/>
  <c r="Z192" i="22144"/>
  <c r="Z193" i="22144"/>
  <c r="Z194" i="22144"/>
  <c r="Z195" i="22144"/>
  <c r="Z196" i="22144"/>
  <c r="Z197" i="22144"/>
  <c r="Z198" i="22144"/>
  <c r="Z199" i="22144"/>
  <c r="Z200" i="22144"/>
  <c r="Z201" i="22144"/>
  <c r="Z202" i="22144"/>
  <c r="Z203" i="22144"/>
  <c r="Z204" i="22144"/>
  <c r="Z205" i="22144"/>
  <c r="Z206" i="22144"/>
  <c r="Z207" i="22144"/>
  <c r="Z208" i="22144"/>
  <c r="Z209" i="22144"/>
  <c r="Z210" i="22144"/>
  <c r="Z211" i="22144"/>
  <c r="Z212" i="22144"/>
  <c r="Z213" i="22144"/>
  <c r="Z214" i="22144"/>
  <c r="Z215" i="22144"/>
  <c r="Z216" i="22144"/>
  <c r="Z217" i="22144"/>
  <c r="Z218" i="22144"/>
  <c r="Z219" i="22144"/>
  <c r="Z220" i="22144"/>
  <c r="Z221" i="22144"/>
  <c r="Z222" i="22144"/>
  <c r="Z223" i="22144"/>
  <c r="Z224" i="22144"/>
  <c r="Z225" i="22144"/>
  <c r="Z226" i="22144"/>
  <c r="Z228" i="22144"/>
  <c r="Z230" i="22144"/>
  <c r="Z231" i="22144"/>
  <c r="Z232" i="22144"/>
  <c r="Z233" i="22144"/>
  <c r="Z234" i="22144"/>
  <c r="Z235" i="22144"/>
  <c r="Z236" i="22144"/>
  <c r="Z237" i="22144"/>
  <c r="Z238" i="22144"/>
  <c r="Z240" i="22144"/>
  <c r="Z242" i="22144"/>
  <c r="Z243" i="22144"/>
  <c r="Z244" i="22144"/>
  <c r="Z245" i="22144"/>
  <c r="Z246" i="22144"/>
  <c r="Z247" i="22144"/>
  <c r="Z248" i="22144"/>
  <c r="Z252" i="22144"/>
  <c r="Z253" i="22144"/>
  <c r="Z254" i="22144"/>
  <c r="Z255" i="22144"/>
  <c r="Z256" i="22144"/>
  <c r="Z258" i="22144"/>
  <c r="Z259" i="22144"/>
  <c r="Z260" i="22144"/>
  <c r="Z261" i="22144"/>
  <c r="Z262" i="22144"/>
  <c r="Z263" i="22144"/>
  <c r="Z264" i="22144"/>
  <c r="Z265" i="22144"/>
  <c r="Z267" i="22144"/>
  <c r="Z268" i="22144"/>
  <c r="Z269" i="22144"/>
  <c r="Z270" i="22144"/>
  <c r="Z271" i="22144"/>
  <c r="Z273" i="22144"/>
  <c r="Z274" i="22144"/>
  <c r="Z275" i="22144"/>
  <c r="Z277" i="22144"/>
  <c r="Z278" i="22144"/>
  <c r="Z279" i="22144"/>
  <c r="Z280" i="22144"/>
  <c r="Z281" i="22144"/>
  <c r="Z282" i="22144"/>
  <c r="Z284" i="22144"/>
  <c r="Z285" i="22144"/>
  <c r="Z286" i="22144"/>
  <c r="Z288" i="22144"/>
  <c r="Z289" i="22144"/>
  <c r="Z290" i="22144"/>
  <c r="Z291" i="22144"/>
  <c r="Z292" i="22144"/>
  <c r="Z293" i="22144"/>
  <c r="Z294" i="22144"/>
  <c r="Z295" i="22144"/>
  <c r="Z296" i="22144"/>
  <c r="Z297" i="22144"/>
  <c r="Z298" i="22144"/>
  <c r="Z299" i="22144"/>
  <c r="Z300" i="22144"/>
  <c r="Z303" i="22144"/>
  <c r="Z304" i="22144"/>
  <c r="Z305" i="22144"/>
  <c r="Z306" i="22144"/>
  <c r="Z307" i="22144"/>
  <c r="Z308" i="22144"/>
  <c r="Z309" i="22144"/>
  <c r="Z311" i="22144"/>
  <c r="Z312" i="22144"/>
  <c r="Z314" i="22144"/>
  <c r="Z315" i="22144"/>
  <c r="Z316" i="22144"/>
  <c r="Z317" i="22144"/>
  <c r="Z318" i="22144"/>
  <c r="Z319" i="22144"/>
  <c r="Z320" i="22144"/>
  <c r="Z321" i="22144"/>
  <c r="Z322" i="22144"/>
  <c r="Z323" i="22144"/>
  <c r="Z324" i="22144"/>
  <c r="Z325" i="22144"/>
  <c r="Z326" i="22144"/>
  <c r="Z328" i="22144"/>
  <c r="Z329" i="22144"/>
  <c r="Z330" i="22144"/>
  <c r="Z331" i="22144"/>
  <c r="Z332" i="22144"/>
  <c r="Z333" i="22144"/>
  <c r="Z334" i="22144"/>
  <c r="Z335" i="22144"/>
  <c r="Z336" i="22144"/>
  <c r="Z337" i="22144"/>
  <c r="Z338" i="22144"/>
  <c r="Z339" i="22144"/>
  <c r="Z340" i="22144"/>
  <c r="Z341" i="22144"/>
  <c r="Z342" i="22144"/>
  <c r="Z343" i="22144"/>
  <c r="Z344" i="22144"/>
  <c r="Z345" i="22144"/>
  <c r="Z347" i="22144"/>
  <c r="Z348" i="22144"/>
  <c r="Z349" i="22144"/>
  <c r="Z350" i="22144"/>
  <c r="Z351" i="22144"/>
  <c r="Z353" i="22144"/>
  <c r="Z354" i="22144"/>
  <c r="Z355" i="22144"/>
  <c r="Z356" i="22144"/>
  <c r="Z357" i="22144"/>
  <c r="Z358" i="22144"/>
  <c r="Z359" i="22144"/>
  <c r="Z360" i="22144"/>
  <c r="Z361" i="22144"/>
  <c r="Z362" i="22144"/>
  <c r="Z363" i="22144"/>
  <c r="Z364" i="22144"/>
  <c r="Z365" i="22144"/>
  <c r="Z367" i="22144"/>
  <c r="Z368" i="22144"/>
  <c r="Z369" i="22144"/>
  <c r="Z370" i="22144"/>
  <c r="Z371" i="22144"/>
  <c r="Z372" i="22144"/>
  <c r="Z374" i="22144"/>
  <c r="Z375" i="22144"/>
  <c r="Z376" i="22144"/>
  <c r="Z377" i="22144"/>
  <c r="Z378" i="22144"/>
  <c r="Z380" i="22144"/>
  <c r="Z381" i="22144"/>
  <c r="Z383" i="22144"/>
  <c r="Z384" i="22144"/>
  <c r="Z385" i="22144"/>
  <c r="Z386" i="22144"/>
  <c r="Z387" i="22144"/>
  <c r="Z389" i="22144"/>
  <c r="Z390" i="22144"/>
  <c r="Z391" i="22144"/>
  <c r="Z392" i="22144"/>
  <c r="Z393" i="22144"/>
  <c r="Z395" i="22144"/>
  <c r="Z396" i="22144"/>
  <c r="Z397" i="22144"/>
  <c r="Z398" i="22144"/>
  <c r="Z399" i="22144"/>
  <c r="Z400" i="22144"/>
  <c r="Z401" i="22144"/>
  <c r="Z402" i="22144"/>
  <c r="Z403" i="22144"/>
  <c r="Z404" i="22144"/>
  <c r="Z405" i="22144"/>
  <c r="Z406" i="22144"/>
  <c r="Z407" i="22144"/>
  <c r="Z408" i="22144"/>
  <c r="Z409" i="22144"/>
  <c r="Z410" i="22144"/>
  <c r="Z411" i="22144"/>
  <c r="Z412" i="22144"/>
  <c r="Z413" i="22144"/>
  <c r="Z414" i="22144"/>
  <c r="Z415" i="22144"/>
  <c r="Z416" i="22144"/>
  <c r="Z417" i="22144"/>
  <c r="Z418" i="22144"/>
  <c r="Z419" i="22144"/>
  <c r="Z420" i="22144"/>
  <c r="Z422" i="22144"/>
  <c r="Z423" i="22144"/>
  <c r="Z424" i="22144"/>
  <c r="Z425" i="22144"/>
  <c r="Z426" i="22144"/>
  <c r="Z427" i="22144"/>
  <c r="Z428" i="22144"/>
  <c r="Z429" i="22144"/>
  <c r="Z430" i="22144"/>
  <c r="Z431" i="22144"/>
  <c r="Z432" i="22144"/>
  <c r="Z433" i="22144"/>
  <c r="Z434" i="22144"/>
  <c r="Z435" i="22144"/>
  <c r="Z436" i="22144"/>
  <c r="Z437" i="22144"/>
  <c r="Z438" i="22144"/>
  <c r="Z439" i="22144"/>
  <c r="Z440" i="22144"/>
  <c r="Z441" i="22144"/>
  <c r="Z442" i="22144"/>
  <c r="Z443" i="22144"/>
  <c r="Z444" i="22144"/>
  <c r="Z445" i="22144"/>
  <c r="Z446" i="22144"/>
  <c r="Z447" i="22144"/>
  <c r="Z448" i="22144"/>
  <c r="Z449" i="22144"/>
  <c r="Z450" i="22144"/>
  <c r="Z451" i="22144"/>
  <c r="Z452" i="22144"/>
  <c r="Z453" i="22144"/>
  <c r="Z7" i="22144"/>
  <c r="Y8" i="22144"/>
  <c r="Y9" i="22144"/>
  <c r="Y10" i="22144"/>
  <c r="Y11" i="22144"/>
  <c r="Y12" i="22144"/>
  <c r="Y13" i="22144"/>
  <c r="Y15" i="22144"/>
  <c r="Y17" i="22144"/>
  <c r="Y18" i="22144"/>
  <c r="Y19" i="22144"/>
  <c r="Y20" i="22144"/>
  <c r="Y21" i="22144"/>
  <c r="Y22" i="22144"/>
  <c r="Y23" i="22144"/>
  <c r="Y24" i="22144"/>
  <c r="Y25" i="22144"/>
  <c r="Y26" i="22144"/>
  <c r="Y27" i="22144"/>
  <c r="Y28" i="22144"/>
  <c r="Y29" i="22144"/>
  <c r="Y30" i="22144"/>
  <c r="Y31" i="22144"/>
  <c r="Y32" i="22144"/>
  <c r="Y33" i="22144"/>
  <c r="Y34" i="22144"/>
  <c r="Y35" i="22144"/>
  <c r="Y36" i="22144"/>
  <c r="Y37" i="22144"/>
  <c r="Y38" i="22144"/>
  <c r="Y39" i="22144"/>
  <c r="Y40" i="22144"/>
  <c r="Y41" i="22144"/>
  <c r="Y42" i="22144"/>
  <c r="Y44" i="22144"/>
  <c r="Y45" i="22144"/>
  <c r="Y46" i="22144"/>
  <c r="Y47" i="22144"/>
  <c r="Y48" i="22144"/>
  <c r="Y49" i="22144"/>
  <c r="Y50" i="22144"/>
  <c r="Y51" i="22144"/>
  <c r="Y52" i="22144"/>
  <c r="Y53" i="22144"/>
  <c r="Y54" i="22144"/>
  <c r="Y56" i="22144"/>
  <c r="Y58" i="22144"/>
  <c r="Y59" i="22144"/>
  <c r="Y61" i="22144"/>
  <c r="Y62" i="22144"/>
  <c r="Y63" i="22144"/>
  <c r="Y64" i="22144"/>
  <c r="Y65" i="22144"/>
  <c r="Y66" i="22144"/>
  <c r="Y67" i="22144"/>
  <c r="Y69" i="22144"/>
  <c r="Y70" i="22144"/>
  <c r="Y71" i="22144"/>
  <c r="Y72" i="22144"/>
  <c r="Y75" i="22144"/>
  <c r="Y76" i="22144"/>
  <c r="Y77" i="22144"/>
  <c r="Y78" i="22144"/>
  <c r="Y79" i="22144"/>
  <c r="Y80" i="22144"/>
  <c r="Y81" i="22144"/>
  <c r="Y83" i="22144"/>
  <c r="Y84" i="22144"/>
  <c r="Y85" i="22144"/>
  <c r="Y86" i="22144"/>
  <c r="Y87" i="22144"/>
  <c r="Y88" i="22144"/>
  <c r="Y89" i="22144"/>
  <c r="Y90" i="22144"/>
  <c r="Y91" i="22144"/>
  <c r="Y93" i="22144"/>
  <c r="Y94" i="22144"/>
  <c r="Y95" i="22144"/>
  <c r="Y96" i="22144"/>
  <c r="Y97" i="22144"/>
  <c r="Y98" i="22144"/>
  <c r="Y99" i="22144"/>
  <c r="Y100" i="22144"/>
  <c r="Y101" i="22144"/>
  <c r="Y102" i="22144"/>
  <c r="Y103" i="22144"/>
  <c r="Y104" i="22144"/>
  <c r="Y105" i="22144"/>
  <c r="Y107" i="22144"/>
  <c r="Y108" i="22144"/>
  <c r="Y109" i="22144"/>
  <c r="Y111" i="22144"/>
  <c r="Y115" i="22144"/>
  <c r="Y117" i="22144"/>
  <c r="Y118" i="22144"/>
  <c r="Y119" i="22144"/>
  <c r="Y120" i="22144"/>
  <c r="Y121" i="22144"/>
  <c r="Y122" i="22144"/>
  <c r="Y123" i="22144"/>
  <c r="Y125" i="22144"/>
  <c r="Y126" i="22144"/>
  <c r="Y127" i="22144"/>
  <c r="Y128" i="22144"/>
  <c r="Y129" i="22144"/>
  <c r="Y130" i="22144"/>
  <c r="Y131" i="22144"/>
  <c r="Y133" i="22144"/>
  <c r="Y134" i="22144"/>
  <c r="Y135" i="22144"/>
  <c r="Y136" i="22144"/>
  <c r="Y138" i="22144"/>
  <c r="Y139" i="22144"/>
  <c r="Y140" i="22144"/>
  <c r="Y141" i="22144"/>
  <c r="Y142" i="22144"/>
  <c r="Y143" i="22144"/>
  <c r="Y144" i="22144"/>
  <c r="Y145" i="22144"/>
  <c r="Y146" i="22144"/>
  <c r="Y147" i="22144"/>
  <c r="Y148" i="22144"/>
  <c r="Y149" i="22144"/>
  <c r="Y150" i="22144"/>
  <c r="Y151" i="22144"/>
  <c r="Y152" i="22144"/>
  <c r="Y153" i="22144"/>
  <c r="Y154" i="22144"/>
  <c r="Y155" i="22144"/>
  <c r="Y156" i="22144"/>
  <c r="Y157" i="22144"/>
  <c r="Y158" i="22144"/>
  <c r="Y159" i="22144"/>
  <c r="Y160" i="22144"/>
  <c r="Y161" i="22144"/>
  <c r="Y162" i="22144"/>
  <c r="Y164" i="22144"/>
  <c r="Y165" i="22144"/>
  <c r="Y166" i="22144"/>
  <c r="Y167" i="22144"/>
  <c r="Y168" i="22144"/>
  <c r="Y169" i="22144"/>
  <c r="Y170" i="22144"/>
  <c r="Y171" i="22144"/>
  <c r="Y172" i="22144"/>
  <c r="Y173" i="22144"/>
  <c r="Y174" i="22144"/>
  <c r="Y175" i="22144"/>
  <c r="Y176" i="22144"/>
  <c r="Y177" i="22144"/>
  <c r="Y178" i="22144"/>
  <c r="Y179" i="22144"/>
  <c r="Y180" i="22144"/>
  <c r="Y181" i="22144"/>
  <c r="Y182" i="22144"/>
  <c r="Y184" i="22144"/>
  <c r="Y185" i="22144"/>
  <c r="Y186" i="22144"/>
  <c r="Y187" i="22144"/>
  <c r="Y188" i="22144"/>
  <c r="Y189" i="22144"/>
  <c r="Y190" i="22144"/>
  <c r="Y191" i="22144"/>
  <c r="Y192" i="22144"/>
  <c r="Y193" i="22144"/>
  <c r="Y194" i="22144"/>
  <c r="Y195" i="22144"/>
  <c r="Y196" i="22144"/>
  <c r="Y197" i="22144"/>
  <c r="Y198" i="22144"/>
  <c r="Y199" i="22144"/>
  <c r="Y200" i="22144"/>
  <c r="Y201" i="22144"/>
  <c r="Y202" i="22144"/>
  <c r="Y203" i="22144"/>
  <c r="Y204" i="22144"/>
  <c r="Y205" i="22144"/>
  <c r="Y206" i="22144"/>
  <c r="Y207" i="22144"/>
  <c r="Y208" i="22144"/>
  <c r="Y209" i="22144"/>
  <c r="Y210" i="22144"/>
  <c r="Y211" i="22144"/>
  <c r="Y212" i="22144"/>
  <c r="Y213" i="22144"/>
  <c r="Y214" i="22144"/>
  <c r="Y215" i="22144"/>
  <c r="Y216" i="22144"/>
  <c r="Y217" i="22144"/>
  <c r="Y218" i="22144"/>
  <c r="Y219" i="22144"/>
  <c r="Y220" i="22144"/>
  <c r="Y221" i="22144"/>
  <c r="Y222" i="22144"/>
  <c r="Y223" i="22144"/>
  <c r="Y224" i="22144"/>
  <c r="Y225" i="22144"/>
  <c r="Y226" i="22144"/>
  <c r="Y228" i="22144"/>
  <c r="Y230" i="22144"/>
  <c r="Y231" i="22144"/>
  <c r="Y232" i="22144"/>
  <c r="Y233" i="22144"/>
  <c r="Y234" i="22144"/>
  <c r="Y235" i="22144"/>
  <c r="Y236" i="22144"/>
  <c r="Y237" i="22144"/>
  <c r="Y238" i="22144"/>
  <c r="Y240" i="22144"/>
  <c r="Y242" i="22144"/>
  <c r="Y243" i="22144"/>
  <c r="Y244" i="22144"/>
  <c r="Y245" i="22144"/>
  <c r="Y246" i="22144"/>
  <c r="Y247" i="22144"/>
  <c r="Y248" i="22144"/>
  <c r="Y252" i="22144"/>
  <c r="Y253" i="22144"/>
  <c r="Y254" i="22144"/>
  <c r="Y255" i="22144"/>
  <c r="Y256" i="22144"/>
  <c r="Y258" i="22144"/>
  <c r="Y259" i="22144"/>
  <c r="Y260" i="22144"/>
  <c r="Y261" i="22144"/>
  <c r="Y262" i="22144"/>
  <c r="Y263" i="22144"/>
  <c r="Y264" i="22144"/>
  <c r="Y265" i="22144"/>
  <c r="Y267" i="22144"/>
  <c r="Y268" i="22144"/>
  <c r="Y269" i="22144"/>
  <c r="Y270" i="22144"/>
  <c r="Y271" i="22144"/>
  <c r="Y273" i="22144"/>
  <c r="Y274" i="22144"/>
  <c r="Y275" i="22144"/>
  <c r="Y277" i="22144"/>
  <c r="Y278" i="22144"/>
  <c r="Y279" i="22144"/>
  <c r="Y280" i="22144"/>
  <c r="Y281" i="22144"/>
  <c r="Y282" i="22144"/>
  <c r="Y284" i="22144"/>
  <c r="Y285" i="22144"/>
  <c r="Y286" i="22144"/>
  <c r="Y288" i="22144"/>
  <c r="Y289" i="22144"/>
  <c r="Y290" i="22144"/>
  <c r="Y291" i="22144"/>
  <c r="Y292" i="22144"/>
  <c r="Y293" i="22144"/>
  <c r="Y294" i="22144"/>
  <c r="Y295" i="22144"/>
  <c r="Y296" i="22144"/>
  <c r="Y297" i="22144"/>
  <c r="Y298" i="22144"/>
  <c r="Y299" i="22144"/>
  <c r="Y300" i="22144"/>
  <c r="Y303" i="22144"/>
  <c r="Y304" i="22144"/>
  <c r="Y305" i="22144"/>
  <c r="Y306" i="22144"/>
  <c r="Y307" i="22144"/>
  <c r="Y308" i="22144"/>
  <c r="Y309" i="22144"/>
  <c r="Y311" i="22144"/>
  <c r="Y312" i="22144"/>
  <c r="Y314" i="22144"/>
  <c r="Y315" i="22144"/>
  <c r="Y316" i="22144"/>
  <c r="Y317" i="22144"/>
  <c r="Y318" i="22144"/>
  <c r="Y319" i="22144"/>
  <c r="Y320" i="22144"/>
  <c r="Y321" i="22144"/>
  <c r="Y322" i="22144"/>
  <c r="Y323" i="22144"/>
  <c r="Y324" i="22144"/>
  <c r="Y325" i="22144"/>
  <c r="Y326" i="22144"/>
  <c r="Y328" i="22144"/>
  <c r="Y329" i="22144"/>
  <c r="Y330" i="22144"/>
  <c r="Y331" i="22144"/>
  <c r="Y332" i="22144"/>
  <c r="Y333" i="22144"/>
  <c r="Y334" i="22144"/>
  <c r="Y335" i="22144"/>
  <c r="Y336" i="22144"/>
  <c r="Y337" i="22144"/>
  <c r="Y338" i="22144"/>
  <c r="Y339" i="22144"/>
  <c r="Y340" i="22144"/>
  <c r="Y341" i="22144"/>
  <c r="Y342" i="22144"/>
  <c r="Y343" i="22144"/>
  <c r="Y344" i="22144"/>
  <c r="Y345" i="22144"/>
  <c r="Y347" i="22144"/>
  <c r="Y348" i="22144"/>
  <c r="Y349" i="22144"/>
  <c r="Y350" i="22144"/>
  <c r="Y351" i="22144"/>
  <c r="Y353" i="22144"/>
  <c r="Y354" i="22144"/>
  <c r="Y355" i="22144"/>
  <c r="Y356" i="22144"/>
  <c r="Y357" i="22144"/>
  <c r="Y358" i="22144"/>
  <c r="Y359" i="22144"/>
  <c r="Y360" i="22144"/>
  <c r="Y361" i="22144"/>
  <c r="Y362" i="22144"/>
  <c r="Y363" i="22144"/>
  <c r="Y364" i="22144"/>
  <c r="Y365" i="22144"/>
  <c r="Y367" i="22144"/>
  <c r="Y368" i="22144"/>
  <c r="Y369" i="22144"/>
  <c r="Y370" i="22144"/>
  <c r="Y371" i="22144"/>
  <c r="Y372" i="22144"/>
  <c r="Y374" i="22144"/>
  <c r="Y375" i="22144"/>
  <c r="Y376" i="22144"/>
  <c r="Y377" i="22144"/>
  <c r="Y378" i="22144"/>
  <c r="Y380" i="22144"/>
  <c r="Y381" i="22144"/>
  <c r="Y383" i="22144"/>
  <c r="Y384" i="22144"/>
  <c r="Y385" i="22144"/>
  <c r="Y386" i="22144"/>
  <c r="Y387" i="22144"/>
  <c r="Y389" i="22144"/>
  <c r="Y390" i="22144"/>
  <c r="Y391" i="22144"/>
  <c r="Y392" i="22144"/>
  <c r="Y393" i="22144"/>
  <c r="Y395" i="22144"/>
  <c r="Y396" i="22144"/>
  <c r="Y397" i="22144"/>
  <c r="Y398" i="22144"/>
  <c r="Y399" i="22144"/>
  <c r="Y400" i="22144"/>
  <c r="Y401" i="22144"/>
  <c r="Y402" i="22144"/>
  <c r="Y403" i="22144"/>
  <c r="Y404" i="22144"/>
  <c r="Y405" i="22144"/>
  <c r="Y406" i="22144"/>
  <c r="Y407" i="22144"/>
  <c r="Y408" i="22144"/>
  <c r="Y409" i="22144"/>
  <c r="Y410" i="22144"/>
  <c r="Y411" i="22144"/>
  <c r="Y412" i="22144"/>
  <c r="Y413" i="22144"/>
  <c r="Y414" i="22144"/>
  <c r="Y415" i="22144"/>
  <c r="Y416" i="22144"/>
  <c r="Y417" i="22144"/>
  <c r="Y418" i="22144"/>
  <c r="Y419" i="22144"/>
  <c r="Y420" i="22144"/>
  <c r="Y422" i="22144"/>
  <c r="Y423" i="22144"/>
  <c r="Y424" i="22144"/>
  <c r="Y425" i="22144"/>
  <c r="Y426" i="22144"/>
  <c r="Y427" i="22144"/>
  <c r="Y428" i="22144"/>
  <c r="Y429" i="22144"/>
  <c r="Y430" i="22144"/>
  <c r="Y431" i="22144"/>
  <c r="Y432" i="22144"/>
  <c r="Y433" i="22144"/>
  <c r="Y434" i="22144"/>
  <c r="Y435" i="22144"/>
  <c r="Y436" i="22144"/>
  <c r="Y437" i="22144"/>
  <c r="Y438" i="22144"/>
  <c r="Y439" i="22144"/>
  <c r="Y440" i="22144"/>
  <c r="Y441" i="22144"/>
  <c r="Y442" i="22144"/>
  <c r="Y443" i="22144"/>
  <c r="Y444" i="22144"/>
  <c r="Y445" i="22144"/>
  <c r="Y446" i="22144"/>
  <c r="Y447" i="22144"/>
  <c r="Y448" i="22144"/>
  <c r="Y449" i="22144"/>
  <c r="Y450" i="22144"/>
  <c r="Y451" i="22144"/>
  <c r="Y452" i="22144"/>
  <c r="Y453" i="22144"/>
  <c r="Y7" i="22144"/>
  <c r="W8" i="22144"/>
  <c r="W9" i="22144"/>
  <c r="W10" i="22144"/>
  <c r="W11" i="22144"/>
  <c r="W12" i="22144"/>
  <c r="W13" i="22144"/>
  <c r="W14" i="22144"/>
  <c r="W16" i="22144"/>
  <c r="W17" i="22144"/>
  <c r="W20" i="22144"/>
  <c r="W21" i="22144"/>
  <c r="W24" i="22144"/>
  <c r="W25" i="22144"/>
  <c r="W27" i="22144"/>
  <c r="W28" i="22144"/>
  <c r="W31" i="22144"/>
  <c r="W32" i="22144"/>
  <c r="W34" i="22144"/>
  <c r="W35" i="22144"/>
  <c r="W36" i="22144"/>
  <c r="W37" i="22144"/>
  <c r="W38" i="22144"/>
  <c r="W40" i="22144"/>
  <c r="W41" i="22144"/>
  <c r="W42" i="22144"/>
  <c r="W44" i="22144"/>
  <c r="W48" i="22144"/>
  <c r="W50" i="22144"/>
  <c r="W53" i="22144"/>
  <c r="W55" i="22144"/>
  <c r="W56" i="22144"/>
  <c r="W58" i="22144"/>
  <c r="W59" i="22144"/>
  <c r="W60" i="22144"/>
  <c r="W61" i="22144"/>
  <c r="W62" i="22144"/>
  <c r="W63" i="22144"/>
  <c r="W64" i="22144"/>
  <c r="W66" i="22144"/>
  <c r="W67" i="22144"/>
  <c r="W68" i="22144"/>
  <c r="W69" i="22144"/>
  <c r="W70" i="22144"/>
  <c r="W71" i="22144"/>
  <c r="W74" i="22144"/>
  <c r="W77" i="22144"/>
  <c r="W78" i="22144"/>
  <c r="W79" i="22144"/>
  <c r="W80" i="22144"/>
  <c r="W81" i="22144"/>
  <c r="W82" i="22144"/>
  <c r="W83" i="22144"/>
  <c r="W84" i="22144"/>
  <c r="W85" i="22144"/>
  <c r="W88" i="22144"/>
  <c r="W89" i="22144"/>
  <c r="W90" i="22144"/>
  <c r="W91" i="22144"/>
  <c r="W92" i="22144"/>
  <c r="W96" i="22144"/>
  <c r="W98" i="22144"/>
  <c r="W99" i="22144"/>
  <c r="W101" i="22144"/>
  <c r="W102" i="22144"/>
  <c r="W104" i="22144"/>
  <c r="W106" i="22144"/>
  <c r="W107" i="22144"/>
  <c r="W109" i="22144"/>
  <c r="W110" i="22144"/>
  <c r="W112" i="22144"/>
  <c r="W113" i="22144"/>
  <c r="W114" i="22144"/>
  <c r="W115" i="22144"/>
  <c r="W116" i="22144"/>
  <c r="W117" i="22144"/>
  <c r="W118" i="22144"/>
  <c r="W120" i="22144"/>
  <c r="W121" i="22144"/>
  <c r="W122" i="22144"/>
  <c r="W123" i="22144"/>
  <c r="W124" i="22144"/>
  <c r="W125" i="22144"/>
  <c r="W126" i="22144"/>
  <c r="W127" i="22144"/>
  <c r="W128" i="22144"/>
  <c r="W129" i="22144"/>
  <c r="W131" i="22144"/>
  <c r="W133" i="22144"/>
  <c r="W135" i="22144"/>
  <c r="W136" i="22144"/>
  <c r="W137" i="22144"/>
  <c r="W138" i="22144"/>
  <c r="W139" i="22144"/>
  <c r="W140" i="22144"/>
  <c r="W141" i="22144"/>
  <c r="W142" i="22144"/>
  <c r="W143" i="22144"/>
  <c r="W144" i="22144"/>
  <c r="W146" i="22144"/>
  <c r="W147" i="22144"/>
  <c r="W148" i="22144"/>
  <c r="W150" i="22144"/>
  <c r="W151" i="22144"/>
  <c r="W152" i="22144"/>
  <c r="W153" i="22144"/>
  <c r="W154" i="22144"/>
  <c r="W155" i="22144"/>
  <c r="W156" i="22144"/>
  <c r="W157" i="22144"/>
  <c r="W158" i="22144"/>
  <c r="W159" i="22144"/>
  <c r="W161" i="22144"/>
  <c r="W162" i="22144"/>
  <c r="W163" i="22144"/>
  <c r="W164" i="22144"/>
  <c r="W166" i="22144"/>
  <c r="W167" i="22144"/>
  <c r="W169" i="22144"/>
  <c r="W170" i="22144"/>
  <c r="W177" i="22144"/>
  <c r="W178" i="22144"/>
  <c r="W179" i="22144"/>
  <c r="W180" i="22144"/>
  <c r="W181" i="22144"/>
  <c r="W183" i="22144"/>
  <c r="W184" i="22144"/>
  <c r="W185" i="22144"/>
  <c r="W186" i="22144"/>
  <c r="W192" i="22144"/>
  <c r="W193" i="22144"/>
  <c r="W195" i="22144"/>
  <c r="W196" i="22144"/>
  <c r="W197" i="22144"/>
  <c r="W199" i="22144"/>
  <c r="W200" i="22144"/>
  <c r="W201" i="22144"/>
  <c r="W202" i="22144"/>
  <c r="W203" i="22144"/>
  <c r="W204" i="22144"/>
  <c r="W206" i="22144"/>
  <c r="W207" i="22144"/>
  <c r="W208" i="22144"/>
  <c r="W210" i="22144"/>
  <c r="W212" i="22144"/>
  <c r="W213" i="22144"/>
  <c r="W214" i="22144"/>
  <c r="W215" i="22144"/>
  <c r="W217" i="22144"/>
  <c r="W218" i="22144"/>
  <c r="W219" i="22144"/>
  <c r="W220" i="22144"/>
  <c r="W221" i="22144"/>
  <c r="W222" i="22144"/>
  <c r="W224" i="22144"/>
  <c r="W225" i="22144"/>
  <c r="W226" i="22144"/>
  <c r="W228" i="22144"/>
  <c r="W229" i="22144"/>
  <c r="W231" i="22144"/>
  <c r="W232" i="22144"/>
  <c r="W235" i="22144"/>
  <c r="W236" i="22144"/>
  <c r="W237" i="22144"/>
  <c r="W238" i="22144"/>
  <c r="W239" i="22144"/>
  <c r="W240" i="22144"/>
  <c r="W241" i="22144"/>
  <c r="W246" i="22144"/>
  <c r="W247" i="22144"/>
  <c r="W248" i="22144"/>
  <c r="W249" i="22144"/>
  <c r="W250" i="22144"/>
  <c r="W252" i="22144"/>
  <c r="W254" i="22144"/>
  <c r="W255" i="22144"/>
  <c r="W256" i="22144"/>
  <c r="W257" i="22144"/>
  <c r="W258" i="22144"/>
  <c r="W259" i="22144"/>
  <c r="W260" i="22144"/>
  <c r="W262" i="22144"/>
  <c r="W264" i="22144"/>
  <c r="W265" i="22144"/>
  <c r="W267" i="22144"/>
  <c r="W268" i="22144"/>
  <c r="W269" i="22144"/>
  <c r="W270" i="22144"/>
  <c r="W271" i="22144"/>
  <c r="W273" i="22144"/>
  <c r="W275" i="22144"/>
  <c r="W276" i="22144"/>
  <c r="W277" i="22144"/>
  <c r="W279" i="22144"/>
  <c r="W281" i="22144"/>
  <c r="W282" i="22144"/>
  <c r="W283" i="22144"/>
  <c r="W284" i="22144"/>
  <c r="W285" i="22144"/>
  <c r="W288" i="22144"/>
  <c r="W289" i="22144"/>
  <c r="W290" i="22144"/>
  <c r="W291" i="22144"/>
  <c r="W293" i="22144"/>
  <c r="W294" i="22144"/>
  <c r="W296" i="22144"/>
  <c r="W297" i="22144"/>
  <c r="W298" i="22144"/>
  <c r="W300" i="22144"/>
  <c r="W301" i="22144"/>
  <c r="W302" i="22144"/>
  <c r="W303" i="22144"/>
  <c r="W304" i="22144"/>
  <c r="W305" i="22144"/>
  <c r="W306" i="22144"/>
  <c r="W307" i="22144"/>
  <c r="W308" i="22144"/>
  <c r="W309" i="22144"/>
  <c r="W310" i="22144"/>
  <c r="W311" i="22144"/>
  <c r="W312" i="22144"/>
  <c r="W313" i="22144"/>
  <c r="W314" i="22144"/>
  <c r="W315" i="22144"/>
  <c r="W316" i="22144"/>
  <c r="W317" i="22144"/>
  <c r="W319" i="22144"/>
  <c r="W320" i="22144"/>
  <c r="W322" i="22144"/>
  <c r="W324" i="22144"/>
  <c r="W325" i="22144"/>
  <c r="W326" i="22144"/>
  <c r="W327" i="22144"/>
  <c r="W330" i="22144"/>
  <c r="W331" i="22144"/>
  <c r="W332" i="22144"/>
  <c r="W333" i="22144"/>
  <c r="W334" i="22144"/>
  <c r="W336" i="22144"/>
  <c r="W337" i="22144"/>
  <c r="W338" i="22144"/>
  <c r="W339" i="22144"/>
  <c r="W340" i="22144"/>
  <c r="W341" i="22144"/>
  <c r="W342" i="22144"/>
  <c r="W343" i="22144"/>
  <c r="W345" i="22144"/>
  <c r="W346" i="22144"/>
  <c r="W347" i="22144"/>
  <c r="W348" i="22144"/>
  <c r="W349" i="22144"/>
  <c r="W352" i="22144"/>
  <c r="W353" i="22144"/>
  <c r="W354" i="22144"/>
  <c r="W357" i="22144"/>
  <c r="W358" i="22144"/>
  <c r="W360" i="22144"/>
  <c r="W362" i="22144"/>
  <c r="W363" i="22144"/>
  <c r="W364" i="22144"/>
  <c r="W365" i="22144"/>
  <c r="W366" i="22144"/>
  <c r="W368" i="22144"/>
  <c r="W369" i="22144"/>
  <c r="W370" i="22144"/>
  <c r="W371" i="22144"/>
  <c r="W374" i="22144"/>
  <c r="W376" i="22144"/>
  <c r="W378" i="22144"/>
  <c r="W379" i="22144"/>
  <c r="W380" i="22144"/>
  <c r="W383" i="22144"/>
  <c r="W384" i="22144"/>
  <c r="W385" i="22144"/>
  <c r="W386" i="22144"/>
  <c r="W387" i="22144"/>
  <c r="W388" i="22144"/>
  <c r="W390" i="22144"/>
  <c r="W393" i="22144"/>
  <c r="W394" i="22144"/>
  <c r="W396" i="22144"/>
  <c r="W397" i="22144"/>
  <c r="W398" i="22144"/>
  <c r="W399" i="22144"/>
  <c r="W400" i="22144"/>
  <c r="W403" i="22144"/>
  <c r="W404" i="22144"/>
  <c r="W405" i="22144"/>
  <c r="W406" i="22144"/>
  <c r="W407" i="22144"/>
  <c r="W408" i="22144"/>
  <c r="W410" i="22144"/>
  <c r="W412" i="22144"/>
  <c r="W413" i="22144"/>
  <c r="W414" i="22144"/>
  <c r="W415" i="22144"/>
  <c r="W416" i="22144"/>
  <c r="W418" i="22144"/>
  <c r="W419" i="22144"/>
  <c r="W421" i="22144"/>
  <c r="W422" i="22144"/>
  <c r="W423" i="22144"/>
  <c r="W424" i="22144"/>
  <c r="W425" i="22144"/>
  <c r="W426" i="22144"/>
  <c r="W428" i="22144"/>
  <c r="W429" i="22144"/>
  <c r="W430" i="22144"/>
  <c r="W432" i="22144"/>
  <c r="W433" i="22144"/>
  <c r="W434" i="22144"/>
  <c r="W435" i="22144"/>
  <c r="W436" i="22144"/>
  <c r="W437" i="22144"/>
  <c r="W438" i="22144"/>
  <c r="W439" i="22144"/>
  <c r="W440" i="22144"/>
  <c r="W441" i="22144"/>
  <c r="W442" i="22144"/>
  <c r="W443" i="22144"/>
  <c r="W444" i="22144"/>
  <c r="W445" i="22144"/>
  <c r="W450" i="22144"/>
  <c r="W452" i="22144"/>
  <c r="W7" i="22144"/>
  <c r="W6" i="22144"/>
  <c r="V8" i="22144"/>
  <c r="V9" i="22144"/>
  <c r="V10" i="22144"/>
  <c r="V11" i="22144"/>
  <c r="V12" i="22144"/>
  <c r="V13" i="22144"/>
  <c r="V14" i="22144"/>
  <c r="V16" i="22144"/>
  <c r="V17" i="22144"/>
  <c r="V20" i="22144"/>
  <c r="V21" i="22144"/>
  <c r="V24" i="22144"/>
  <c r="V25" i="22144"/>
  <c r="V27" i="22144"/>
  <c r="V28" i="22144"/>
  <c r="V31" i="22144"/>
  <c r="V32" i="22144"/>
  <c r="V34" i="22144"/>
  <c r="V35" i="22144"/>
  <c r="V36" i="22144"/>
  <c r="V37" i="22144"/>
  <c r="V38" i="22144"/>
  <c r="V40" i="22144"/>
  <c r="V41" i="22144"/>
  <c r="V42" i="22144"/>
  <c r="V44" i="22144"/>
  <c r="V48" i="22144"/>
  <c r="V50" i="22144"/>
  <c r="V53" i="22144"/>
  <c r="V55" i="22144"/>
  <c r="V56" i="22144"/>
  <c r="V58" i="22144"/>
  <c r="V59" i="22144"/>
  <c r="V60" i="22144"/>
  <c r="V61" i="22144"/>
  <c r="V62" i="22144"/>
  <c r="V63" i="22144"/>
  <c r="V64" i="22144"/>
  <c r="V66" i="22144"/>
  <c r="V67" i="22144"/>
  <c r="V68" i="22144"/>
  <c r="V69" i="22144"/>
  <c r="V70" i="22144"/>
  <c r="V71" i="22144"/>
  <c r="V74" i="22144"/>
  <c r="V77" i="22144"/>
  <c r="V78" i="22144"/>
  <c r="V79" i="22144"/>
  <c r="V80" i="22144"/>
  <c r="V81" i="22144"/>
  <c r="V82" i="22144"/>
  <c r="V83" i="22144"/>
  <c r="V84" i="22144"/>
  <c r="V85" i="22144"/>
  <c r="V88" i="22144"/>
  <c r="V89" i="22144"/>
  <c r="V90" i="22144"/>
  <c r="V91" i="22144"/>
  <c r="V92" i="22144"/>
  <c r="V96" i="22144"/>
  <c r="V98" i="22144"/>
  <c r="V99" i="22144"/>
  <c r="V101" i="22144"/>
  <c r="V102" i="22144"/>
  <c r="V104" i="22144"/>
  <c r="V106" i="22144"/>
  <c r="V107" i="22144"/>
  <c r="V109" i="22144"/>
  <c r="V110" i="22144"/>
  <c r="V112" i="22144"/>
  <c r="V113" i="22144"/>
  <c r="V114" i="22144"/>
  <c r="V115" i="22144"/>
  <c r="V116" i="22144"/>
  <c r="V117" i="22144"/>
  <c r="V118" i="22144"/>
  <c r="V120" i="22144"/>
  <c r="V121" i="22144"/>
  <c r="V122" i="22144"/>
  <c r="V123" i="22144"/>
  <c r="V124" i="22144"/>
  <c r="V125" i="22144"/>
  <c r="V126" i="22144"/>
  <c r="V127" i="22144"/>
  <c r="V128" i="22144"/>
  <c r="V129" i="22144"/>
  <c r="V131" i="22144"/>
  <c r="V133" i="22144"/>
  <c r="V135" i="22144"/>
  <c r="V136" i="22144"/>
  <c r="V137" i="22144"/>
  <c r="V138" i="22144"/>
  <c r="V139" i="22144"/>
  <c r="V140" i="22144"/>
  <c r="V141" i="22144"/>
  <c r="V142" i="22144"/>
  <c r="V143" i="22144"/>
  <c r="V144" i="22144"/>
  <c r="V146" i="22144"/>
  <c r="V147" i="22144"/>
  <c r="V148" i="22144"/>
  <c r="V150" i="22144"/>
  <c r="V151" i="22144"/>
  <c r="V152" i="22144"/>
  <c r="V153" i="22144"/>
  <c r="V154" i="22144"/>
  <c r="V155" i="22144"/>
  <c r="V156" i="22144"/>
  <c r="V157" i="22144"/>
  <c r="V158" i="22144"/>
  <c r="V159" i="22144"/>
  <c r="V161" i="22144"/>
  <c r="V162" i="22144"/>
  <c r="V163" i="22144"/>
  <c r="V164" i="22144"/>
  <c r="V166" i="22144"/>
  <c r="V167" i="22144"/>
  <c r="V169" i="22144"/>
  <c r="V170" i="22144"/>
  <c r="V177" i="22144"/>
  <c r="V178" i="22144"/>
  <c r="V179" i="22144"/>
  <c r="V180" i="22144"/>
  <c r="V181" i="22144"/>
  <c r="V183" i="22144"/>
  <c r="V184" i="22144"/>
  <c r="V185" i="22144"/>
  <c r="V186" i="22144"/>
  <c r="V192" i="22144"/>
  <c r="V193" i="22144"/>
  <c r="V195" i="22144"/>
  <c r="V196" i="22144"/>
  <c r="V197" i="22144"/>
  <c r="V199" i="22144"/>
  <c r="V200" i="22144"/>
  <c r="V201" i="22144"/>
  <c r="V202" i="22144"/>
  <c r="V203" i="22144"/>
  <c r="V204" i="22144"/>
  <c r="V206" i="22144"/>
  <c r="V207" i="22144"/>
  <c r="V208" i="22144"/>
  <c r="V210" i="22144"/>
  <c r="V212" i="22144"/>
  <c r="V213" i="22144"/>
  <c r="V214" i="22144"/>
  <c r="V215" i="22144"/>
  <c r="V217" i="22144"/>
  <c r="V218" i="22144"/>
  <c r="V219" i="22144"/>
  <c r="V220" i="22144"/>
  <c r="V221" i="22144"/>
  <c r="V222" i="22144"/>
  <c r="V224" i="22144"/>
  <c r="V225" i="22144"/>
  <c r="V226" i="22144"/>
  <c r="V228" i="22144"/>
  <c r="V229" i="22144"/>
  <c r="V231" i="22144"/>
  <c r="V232" i="22144"/>
  <c r="V235" i="22144"/>
  <c r="V236" i="22144"/>
  <c r="V237" i="22144"/>
  <c r="V238" i="22144"/>
  <c r="V239" i="22144"/>
  <c r="V240" i="22144"/>
  <c r="V241" i="22144"/>
  <c r="V246" i="22144"/>
  <c r="V247" i="22144"/>
  <c r="V248" i="22144"/>
  <c r="V249" i="22144"/>
  <c r="V250" i="22144"/>
  <c r="V252" i="22144"/>
  <c r="V254" i="22144"/>
  <c r="V255" i="22144"/>
  <c r="V256" i="22144"/>
  <c r="V257" i="22144"/>
  <c r="V258" i="22144"/>
  <c r="V259" i="22144"/>
  <c r="V260" i="22144"/>
  <c r="V262" i="22144"/>
  <c r="V264" i="22144"/>
  <c r="V265" i="22144"/>
  <c r="V267" i="22144"/>
  <c r="V268" i="22144"/>
  <c r="V269" i="22144"/>
  <c r="V270" i="22144"/>
  <c r="V271" i="22144"/>
  <c r="V273" i="22144"/>
  <c r="V275" i="22144"/>
  <c r="V276" i="22144"/>
  <c r="V277" i="22144"/>
  <c r="V279" i="22144"/>
  <c r="V281" i="22144"/>
  <c r="V282" i="22144"/>
  <c r="V283" i="22144"/>
  <c r="V284" i="22144"/>
  <c r="V285" i="22144"/>
  <c r="V288" i="22144"/>
  <c r="V289" i="22144"/>
  <c r="V290" i="22144"/>
  <c r="V291" i="22144"/>
  <c r="V293" i="22144"/>
  <c r="V294" i="22144"/>
  <c r="V296" i="22144"/>
  <c r="V297" i="22144"/>
  <c r="V298" i="22144"/>
  <c r="V300" i="22144"/>
  <c r="V301" i="22144"/>
  <c r="V302" i="22144"/>
  <c r="V303" i="22144"/>
  <c r="V304" i="22144"/>
  <c r="V305" i="22144"/>
  <c r="V306" i="22144"/>
  <c r="V307" i="22144"/>
  <c r="V308" i="22144"/>
  <c r="V309" i="22144"/>
  <c r="V310" i="22144"/>
  <c r="V311" i="22144"/>
  <c r="V312" i="22144"/>
  <c r="V313" i="22144"/>
  <c r="V314" i="22144"/>
  <c r="V315" i="22144"/>
  <c r="V316" i="22144"/>
  <c r="V317" i="22144"/>
  <c r="V319" i="22144"/>
  <c r="V320" i="22144"/>
  <c r="V322" i="22144"/>
  <c r="V324" i="22144"/>
  <c r="V325" i="22144"/>
  <c r="V326" i="22144"/>
  <c r="V327" i="22144"/>
  <c r="V330" i="22144"/>
  <c r="V331" i="22144"/>
  <c r="V332" i="22144"/>
  <c r="V333" i="22144"/>
  <c r="V334" i="22144"/>
  <c r="V336" i="22144"/>
  <c r="V337" i="22144"/>
  <c r="V338" i="22144"/>
  <c r="V339" i="22144"/>
  <c r="V340" i="22144"/>
  <c r="V341" i="22144"/>
  <c r="V342" i="22144"/>
  <c r="V343" i="22144"/>
  <c r="V345" i="22144"/>
  <c r="V346" i="22144"/>
  <c r="V347" i="22144"/>
  <c r="V348" i="22144"/>
  <c r="V349" i="22144"/>
  <c r="V352" i="22144"/>
  <c r="V353" i="22144"/>
  <c r="V354" i="22144"/>
  <c r="V357" i="22144"/>
  <c r="V358" i="22144"/>
  <c r="V360" i="22144"/>
  <c r="V362" i="22144"/>
  <c r="V363" i="22144"/>
  <c r="V364" i="22144"/>
  <c r="V365" i="22144"/>
  <c r="V366" i="22144"/>
  <c r="V368" i="22144"/>
  <c r="V369" i="22144"/>
  <c r="V370" i="22144"/>
  <c r="V371" i="22144"/>
  <c r="V374" i="22144"/>
  <c r="V376" i="22144"/>
  <c r="V378" i="22144"/>
  <c r="V379" i="22144"/>
  <c r="V380" i="22144"/>
  <c r="V383" i="22144"/>
  <c r="V384" i="22144"/>
  <c r="V385" i="22144"/>
  <c r="V386" i="22144"/>
  <c r="V387" i="22144"/>
  <c r="V388" i="22144"/>
  <c r="V390" i="22144"/>
  <c r="V393" i="22144"/>
  <c r="V394" i="22144"/>
  <c r="V396" i="22144"/>
  <c r="V397" i="22144"/>
  <c r="V398" i="22144"/>
  <c r="V399" i="22144"/>
  <c r="V400" i="22144"/>
  <c r="V403" i="22144"/>
  <c r="V404" i="22144"/>
  <c r="V405" i="22144"/>
  <c r="V406" i="22144"/>
  <c r="V407" i="22144"/>
  <c r="V408" i="22144"/>
  <c r="V410" i="22144"/>
  <c r="V412" i="22144"/>
  <c r="V413" i="22144"/>
  <c r="V414" i="22144"/>
  <c r="V415" i="22144"/>
  <c r="V416" i="22144"/>
  <c r="V418" i="22144"/>
  <c r="V419" i="22144"/>
  <c r="V421" i="22144"/>
  <c r="V422" i="22144"/>
  <c r="V423" i="22144"/>
  <c r="V424" i="22144"/>
  <c r="V425" i="22144"/>
  <c r="V426" i="22144"/>
  <c r="V428" i="22144"/>
  <c r="V429" i="22144"/>
  <c r="V430" i="22144"/>
  <c r="V432" i="22144"/>
  <c r="V433" i="22144"/>
  <c r="V434" i="22144"/>
  <c r="V435" i="22144"/>
  <c r="V436" i="22144"/>
  <c r="V437" i="22144"/>
  <c r="V438" i="22144"/>
  <c r="V439" i="22144"/>
  <c r="V440" i="22144"/>
  <c r="V441" i="22144"/>
  <c r="V442" i="22144"/>
  <c r="V443" i="22144"/>
  <c r="V444" i="22144"/>
  <c r="V445" i="22144"/>
  <c r="V450" i="22144"/>
  <c r="V452" i="22144"/>
  <c r="V7" i="22144"/>
  <c r="V6" i="22144"/>
  <c r="U453" i="22144"/>
  <c r="AD452" i="22144"/>
  <c r="AE452" i="22144" s="1"/>
  <c r="U451" i="22144"/>
  <c r="W451" i="22144" s="1"/>
  <c r="AD450" i="22144"/>
  <c r="AG450" i="22144" s="1"/>
  <c r="U449" i="22144"/>
  <c r="U448" i="22144"/>
  <c r="V448" i="22144" s="1"/>
  <c r="U447" i="22144"/>
  <c r="U446" i="22144"/>
  <c r="W446" i="22144" s="1"/>
  <c r="AD445" i="22144"/>
  <c r="AG445" i="22144" s="1"/>
  <c r="AD444" i="22144"/>
  <c r="AH444" i="22144" s="1"/>
  <c r="AD443" i="22144"/>
  <c r="AH443" i="22144" s="1"/>
  <c r="AD442" i="22144"/>
  <c r="AE442" i="22144" s="1"/>
  <c r="AD441" i="22144"/>
  <c r="AD440" i="22144"/>
  <c r="AH440" i="22144" s="1"/>
  <c r="AD439" i="22144"/>
  <c r="AD438" i="22144"/>
  <c r="AH438" i="22144" s="1"/>
  <c r="AD437" i="22144"/>
  <c r="AG437" i="22144" s="1"/>
  <c r="AD436" i="22144"/>
  <c r="AH436" i="22144" s="1"/>
  <c r="AD435" i="22144"/>
  <c r="AE435" i="22144" s="1"/>
  <c r="AD434" i="22144"/>
  <c r="AF434" i="22144" s="1"/>
  <c r="AD433" i="22144"/>
  <c r="AF433" i="22144" s="1"/>
  <c r="AD432" i="22144"/>
  <c r="AG432" i="22144" s="1"/>
  <c r="U431" i="22144"/>
  <c r="AD431" i="22144" s="1"/>
  <c r="AE431" i="22144" s="1"/>
  <c r="AD430" i="22144"/>
  <c r="AE430" i="22144" s="1"/>
  <c r="AD429" i="22144"/>
  <c r="AF429" i="22144" s="1"/>
  <c r="AD428" i="22144"/>
  <c r="AG428" i="22144" s="1"/>
  <c r="U427" i="22144"/>
  <c r="V427" i="22144" s="1"/>
  <c r="AD426" i="22144"/>
  <c r="AE426" i="22144" s="1"/>
  <c r="AD425" i="22144"/>
  <c r="AF425" i="22144" s="1"/>
  <c r="AD424" i="22144"/>
  <c r="AF424" i="22144" s="1"/>
  <c r="AD423" i="22144"/>
  <c r="AF423" i="22144" s="1"/>
  <c r="AD422" i="22144"/>
  <c r="AA421" i="22144"/>
  <c r="AB421" i="22144" s="1"/>
  <c r="X421" i="22144"/>
  <c r="U420" i="22144"/>
  <c r="AD420" i="22144" s="1"/>
  <c r="AG420" i="22144" s="1"/>
  <c r="AD419" i="22144"/>
  <c r="AG419" i="22144" s="1"/>
  <c r="AD418" i="22144"/>
  <c r="U417" i="22144"/>
  <c r="V417" i="22144" s="1"/>
  <c r="AD416" i="22144"/>
  <c r="AE416" i="22144" s="1"/>
  <c r="AD415" i="22144"/>
  <c r="AF415" i="22144" s="1"/>
  <c r="AD414" i="22144"/>
  <c r="AE414" i="22144" s="1"/>
  <c r="AD413" i="22144"/>
  <c r="AD412" i="22144"/>
  <c r="AH412" i="22144" s="1"/>
  <c r="U411" i="22144"/>
  <c r="AD410" i="22144"/>
  <c r="U409" i="22144"/>
  <c r="AD408" i="22144"/>
  <c r="AE408" i="22144" s="1"/>
  <c r="AD407" i="22144"/>
  <c r="AE407" i="22144" s="1"/>
  <c r="AD406" i="22144"/>
  <c r="AD405" i="22144"/>
  <c r="AH405" i="22144" s="1"/>
  <c r="AD404" i="22144"/>
  <c r="AH404" i="22144" s="1"/>
  <c r="AD403" i="22144"/>
  <c r="AF403" i="22144" s="1"/>
  <c r="U402" i="22144"/>
  <c r="W402" i="22144" s="1"/>
  <c r="U401" i="22144"/>
  <c r="AD400" i="22144"/>
  <c r="AG400" i="22144" s="1"/>
  <c r="AD399" i="22144"/>
  <c r="AE399" i="22144" s="1"/>
  <c r="AD398" i="22144"/>
  <c r="AD397" i="22144"/>
  <c r="AG397" i="22144" s="1"/>
  <c r="AD396" i="22144"/>
  <c r="AF396" i="22144" s="1"/>
  <c r="U395" i="22144"/>
  <c r="X394" i="22144"/>
  <c r="AD394" i="22144" s="1"/>
  <c r="AE394" i="22144" s="1"/>
  <c r="AD393" i="22144"/>
  <c r="AE393" i="22144" s="1"/>
  <c r="U392" i="22144"/>
  <c r="V392" i="22144" s="1"/>
  <c r="U391" i="22144"/>
  <c r="V391" i="22144" s="1"/>
  <c r="AD390" i="22144"/>
  <c r="AH390" i="22144" s="1"/>
  <c r="U389" i="22144"/>
  <c r="X388" i="22144"/>
  <c r="AD388" i="22144" s="1"/>
  <c r="AF388" i="22144" s="1"/>
  <c r="AD387" i="22144"/>
  <c r="AG387" i="22144" s="1"/>
  <c r="AD386" i="22144"/>
  <c r="AD385" i="22144"/>
  <c r="AG385" i="22144" s="1"/>
  <c r="AD384" i="22144"/>
  <c r="AD383" i="22144"/>
  <c r="AH383" i="22144" s="1"/>
  <c r="X382" i="22144"/>
  <c r="Z382" i="22144" s="1"/>
  <c r="U382" i="22144"/>
  <c r="U381" i="22144"/>
  <c r="V381" i="22144" s="1"/>
  <c r="AD380" i="22144"/>
  <c r="X379" i="22144"/>
  <c r="Y379" i="22144" s="1"/>
  <c r="AD378" i="22144"/>
  <c r="AF378" i="22144" s="1"/>
  <c r="U377" i="22144"/>
  <c r="AD376" i="22144"/>
  <c r="AF376" i="22144" s="1"/>
  <c r="U375" i="22144"/>
  <c r="V375" i="22144" s="1"/>
  <c r="AD374" i="22144"/>
  <c r="AG374" i="22144" s="1"/>
  <c r="X373" i="22144"/>
  <c r="U373" i="22144"/>
  <c r="V373" i="22144" s="1"/>
  <c r="U372" i="22144"/>
  <c r="W372" i="22144" s="1"/>
  <c r="AD371" i="22144"/>
  <c r="AH371" i="22144" s="1"/>
  <c r="AD370" i="22144"/>
  <c r="AE370" i="22144" s="1"/>
  <c r="AD369" i="22144"/>
  <c r="AH369" i="22144" s="1"/>
  <c r="AD368" i="22144"/>
  <c r="AF368" i="22144" s="1"/>
  <c r="U367" i="22144"/>
  <c r="X366" i="22144"/>
  <c r="Z366" i="22144" s="1"/>
  <c r="AD365" i="22144"/>
  <c r="AD364" i="22144"/>
  <c r="AE364" i="22144" s="1"/>
  <c r="AD363" i="22144"/>
  <c r="AD362" i="22144"/>
  <c r="U361" i="22144"/>
  <c r="V361" i="22144" s="1"/>
  <c r="AD360" i="22144"/>
  <c r="U359" i="22144"/>
  <c r="W359" i="22144" s="1"/>
  <c r="AD358" i="22144"/>
  <c r="AF358" i="22144" s="1"/>
  <c r="AD357" i="22144"/>
  <c r="AG357" i="22144" s="1"/>
  <c r="U356" i="22144"/>
  <c r="W356" i="22144" s="1"/>
  <c r="U355" i="22144"/>
  <c r="AD354" i="22144"/>
  <c r="AD353" i="22144"/>
  <c r="AG353" i="22144" s="1"/>
  <c r="X352" i="22144"/>
  <c r="U351" i="22144"/>
  <c r="U350" i="22144"/>
  <c r="W350" i="22144" s="1"/>
  <c r="AD349" i="22144"/>
  <c r="AG349" i="22144" s="1"/>
  <c r="AD348" i="22144"/>
  <c r="AD347" i="22144"/>
  <c r="AG347" i="22144" s="1"/>
  <c r="X346" i="22144"/>
  <c r="Z346" i="22144" s="1"/>
  <c r="AD345" i="22144"/>
  <c r="AG345" i="22144" s="1"/>
  <c r="U344" i="22144"/>
  <c r="V344" i="22144" s="1"/>
  <c r="AD343" i="22144"/>
  <c r="AH343" i="22144" s="1"/>
  <c r="AD342" i="22144"/>
  <c r="AH342" i="22144" s="1"/>
  <c r="AD341" i="22144"/>
  <c r="AD340" i="22144"/>
  <c r="AG340" i="22144" s="1"/>
  <c r="AD339" i="22144"/>
  <c r="AG339" i="22144" s="1"/>
  <c r="AD338" i="22144"/>
  <c r="AF338" i="22144" s="1"/>
  <c r="AD337" i="22144"/>
  <c r="AE337" i="22144" s="1"/>
  <c r="AD336" i="22144"/>
  <c r="AF336" i="22144" s="1"/>
  <c r="U335" i="22144"/>
  <c r="W335" i="22144" s="1"/>
  <c r="AD334" i="22144"/>
  <c r="AE334" i="22144" s="1"/>
  <c r="AD333" i="22144"/>
  <c r="AE333" i="22144" s="1"/>
  <c r="AD332" i="22144"/>
  <c r="AD331" i="22144"/>
  <c r="AH331" i="22144" s="1"/>
  <c r="AD330" i="22144"/>
  <c r="U329" i="22144"/>
  <c r="W329" i="22144" s="1"/>
  <c r="U328" i="22144"/>
  <c r="W328" i="22144" s="1"/>
  <c r="X327" i="22144"/>
  <c r="AD326" i="22144"/>
  <c r="AG326" i="22144" s="1"/>
  <c r="AD325" i="22144"/>
  <c r="AE325" i="22144" s="1"/>
  <c r="AD324" i="22144"/>
  <c r="AH324" i="22144" s="1"/>
  <c r="U323" i="22144"/>
  <c r="AD322" i="22144"/>
  <c r="U321" i="22144"/>
  <c r="W321" i="22144" s="1"/>
  <c r="AD320" i="22144"/>
  <c r="AF320" i="22144" s="1"/>
  <c r="AD319" i="22144"/>
  <c r="AH319" i="22144" s="1"/>
  <c r="U318" i="22144"/>
  <c r="AD318" i="22144" s="1"/>
  <c r="AG318" i="22144" s="1"/>
  <c r="AD317" i="22144"/>
  <c r="AE317" i="22144" s="1"/>
  <c r="AD316" i="22144"/>
  <c r="AD315" i="22144"/>
  <c r="AE315" i="22144" s="1"/>
  <c r="AD314" i="22144"/>
  <c r="AG314" i="22144" s="1"/>
  <c r="X313" i="22144"/>
  <c r="Y313" i="22144" s="1"/>
  <c r="AD312" i="22144"/>
  <c r="AF312" i="22144" s="1"/>
  <c r="AD311" i="22144"/>
  <c r="AF311" i="22144" s="1"/>
  <c r="X310" i="22144"/>
  <c r="Y310" i="22144" s="1"/>
  <c r="AD309" i="22144"/>
  <c r="AD308" i="22144"/>
  <c r="AF308" i="22144" s="1"/>
  <c r="AD307" i="22144"/>
  <c r="AE307" i="22144" s="1"/>
  <c r="AD306" i="22144"/>
  <c r="AH306" i="22144" s="1"/>
  <c r="AD305" i="22144"/>
  <c r="AH305" i="22144" s="1"/>
  <c r="AD304" i="22144"/>
  <c r="AF304" i="22144" s="1"/>
  <c r="AD303" i="22144"/>
  <c r="AG303" i="22144" s="1"/>
  <c r="X302" i="22144"/>
  <c r="Z302" i="22144" s="1"/>
  <c r="X301" i="22144"/>
  <c r="Y301" i="22144" s="1"/>
  <c r="AD300" i="22144"/>
  <c r="AE300" i="22144" s="1"/>
  <c r="U299" i="22144"/>
  <c r="AD298" i="22144"/>
  <c r="AH298" i="22144" s="1"/>
  <c r="AD297" i="22144"/>
  <c r="AF297" i="22144" s="1"/>
  <c r="AD296" i="22144"/>
  <c r="U295" i="22144"/>
  <c r="AD295" i="22144" s="1"/>
  <c r="AG295" i="22144" s="1"/>
  <c r="AD294" i="22144"/>
  <c r="AD293" i="22144"/>
  <c r="AH293" i="22144" s="1"/>
  <c r="U292" i="22144"/>
  <c r="AD292" i="22144" s="1"/>
  <c r="AG292" i="22144" s="1"/>
  <c r="AD291" i="22144"/>
  <c r="AG291" i="22144" s="1"/>
  <c r="AD290" i="22144"/>
  <c r="AG290" i="22144" s="1"/>
  <c r="AD289" i="22144"/>
  <c r="AD288" i="22144"/>
  <c r="X287" i="22144"/>
  <c r="U287" i="22144"/>
  <c r="W287" i="22144" s="1"/>
  <c r="U286" i="22144"/>
  <c r="AD285" i="22144"/>
  <c r="AE285" i="22144" s="1"/>
  <c r="AD284" i="22144"/>
  <c r="AF284" i="22144" s="1"/>
  <c r="AA283" i="22144"/>
  <c r="AC283" i="22144" s="1"/>
  <c r="X283" i="22144"/>
  <c r="Y283" i="22144" s="1"/>
  <c r="AD282" i="22144"/>
  <c r="AF282" i="22144" s="1"/>
  <c r="AD281" i="22144"/>
  <c r="AG281" i="22144" s="1"/>
  <c r="U280" i="22144"/>
  <c r="AD280" i="22144" s="1"/>
  <c r="AD279" i="22144"/>
  <c r="AG279" i="22144" s="1"/>
  <c r="U278" i="22144"/>
  <c r="AD278" i="22144" s="1"/>
  <c r="AE278" i="22144" s="1"/>
  <c r="AD277" i="22144"/>
  <c r="AG277" i="22144" s="1"/>
  <c r="X276" i="22144"/>
  <c r="Y276" i="22144" s="1"/>
  <c r="AD275" i="22144"/>
  <c r="U274" i="22144"/>
  <c r="AD274" i="22144" s="1"/>
  <c r="AF274" i="22144" s="1"/>
  <c r="AD273" i="22144"/>
  <c r="AH273" i="22144" s="1"/>
  <c r="X272" i="22144"/>
  <c r="Z272" i="22144" s="1"/>
  <c r="U272" i="22144"/>
  <c r="AD271" i="22144"/>
  <c r="AE271" i="22144" s="1"/>
  <c r="AD270" i="22144"/>
  <c r="AE270" i="22144" s="1"/>
  <c r="AD269" i="22144"/>
  <c r="AG269" i="22144" s="1"/>
  <c r="AD268" i="22144"/>
  <c r="AD267" i="22144"/>
  <c r="AF267" i="22144" s="1"/>
  <c r="X266" i="22144"/>
  <c r="Z266" i="22144" s="1"/>
  <c r="U266" i="22144"/>
  <c r="W266" i="22144" s="1"/>
  <c r="AD265" i="22144"/>
  <c r="AG265" i="22144" s="1"/>
  <c r="AD264" i="22144"/>
  <c r="AF264" i="22144" s="1"/>
  <c r="U263" i="22144"/>
  <c r="W263" i="22144" s="1"/>
  <c r="AD262" i="22144"/>
  <c r="AH262" i="22144" s="1"/>
  <c r="U261" i="22144"/>
  <c r="V261" i="22144" s="1"/>
  <c r="AD260" i="22144"/>
  <c r="AH260" i="22144" s="1"/>
  <c r="AD259" i="22144"/>
  <c r="AE259" i="22144" s="1"/>
  <c r="AD258" i="22144"/>
  <c r="AH258" i="22144" s="1"/>
  <c r="X257" i="22144"/>
  <c r="Z257" i="22144" s="1"/>
  <c r="AD256" i="22144"/>
  <c r="AE256" i="22144" s="1"/>
  <c r="AD255" i="22144"/>
  <c r="AE255" i="22144" s="1"/>
  <c r="AD254" i="22144"/>
  <c r="AE254" i="22144" s="1"/>
  <c r="U253" i="22144"/>
  <c r="V253" i="22144" s="1"/>
  <c r="AD252" i="22144"/>
  <c r="AF252" i="22144" s="1"/>
  <c r="X251" i="22144"/>
  <c r="U251" i="22144"/>
  <c r="X250" i="22144"/>
  <c r="Z250" i="22144" s="1"/>
  <c r="X249" i="22144"/>
  <c r="Y249" i="22144" s="1"/>
  <c r="AD248" i="22144"/>
  <c r="AF248" i="22144" s="1"/>
  <c r="AD247" i="22144"/>
  <c r="AH247" i="22144" s="1"/>
  <c r="AD246" i="22144"/>
  <c r="AG246" i="22144" s="1"/>
  <c r="U245" i="22144"/>
  <c r="V245" i="22144" s="1"/>
  <c r="U244" i="22144"/>
  <c r="V244" i="22144" s="1"/>
  <c r="U243" i="22144"/>
  <c r="V243" i="22144" s="1"/>
  <c r="U242" i="22144"/>
  <c r="X241" i="22144"/>
  <c r="Z241" i="22144" s="1"/>
  <c r="AD240" i="22144"/>
  <c r="X239" i="22144"/>
  <c r="Y239" i="22144" s="1"/>
  <c r="AD238" i="22144"/>
  <c r="AG238" i="22144" s="1"/>
  <c r="AD237" i="22144"/>
  <c r="AD236" i="22144"/>
  <c r="AF236" i="22144" s="1"/>
  <c r="AD235" i="22144"/>
  <c r="U234" i="22144"/>
  <c r="U233" i="22144"/>
  <c r="AD232" i="22144"/>
  <c r="AD231" i="22144"/>
  <c r="AG231" i="22144" s="1"/>
  <c r="U230" i="22144"/>
  <c r="X229" i="22144"/>
  <c r="Y229" i="22144" s="1"/>
  <c r="AD228" i="22144"/>
  <c r="AH228" i="22144" s="1"/>
  <c r="X227" i="22144"/>
  <c r="Y227" i="22144" s="1"/>
  <c r="U227" i="22144"/>
  <c r="AD226" i="22144"/>
  <c r="AH226" i="22144" s="1"/>
  <c r="AD225" i="22144"/>
  <c r="AH225" i="22144" s="1"/>
  <c r="AD224" i="22144"/>
  <c r="AH224" i="22144" s="1"/>
  <c r="U223" i="22144"/>
  <c r="AD222" i="22144"/>
  <c r="AD221" i="22144"/>
  <c r="AH221" i="22144" s="1"/>
  <c r="AD220" i="22144"/>
  <c r="AH220" i="22144" s="1"/>
  <c r="AD219" i="22144"/>
  <c r="AD218" i="22144"/>
  <c r="AG218" i="22144" s="1"/>
  <c r="AD217" i="22144"/>
  <c r="AE217" i="22144" s="1"/>
  <c r="U216" i="22144"/>
  <c r="AD215" i="22144"/>
  <c r="AD214" i="22144"/>
  <c r="AG214" i="22144" s="1"/>
  <c r="AD213" i="22144"/>
  <c r="AE213" i="22144" s="1"/>
  <c r="AD212" i="22144"/>
  <c r="AG212" i="22144" s="1"/>
  <c r="U211" i="22144"/>
  <c r="AD211" i="22144" s="1"/>
  <c r="AF211" i="22144" s="1"/>
  <c r="AD210" i="22144"/>
  <c r="AH210" i="22144" s="1"/>
  <c r="U209" i="22144"/>
  <c r="AD208" i="22144"/>
  <c r="AG208" i="22144" s="1"/>
  <c r="AD207" i="22144"/>
  <c r="AD206" i="22144"/>
  <c r="AH206" i="22144" s="1"/>
  <c r="U205" i="22144"/>
  <c r="V205" i="22144" s="1"/>
  <c r="AD204" i="22144"/>
  <c r="AF204" i="22144" s="1"/>
  <c r="AD203" i="22144"/>
  <c r="AH203" i="22144" s="1"/>
  <c r="AD202" i="22144"/>
  <c r="AG202" i="22144" s="1"/>
  <c r="AD201" i="22144"/>
  <c r="AF201" i="22144" s="1"/>
  <c r="AD200" i="22144"/>
  <c r="AE200" i="22144" s="1"/>
  <c r="AD199" i="22144"/>
  <c r="AG199" i="22144" s="1"/>
  <c r="U198" i="22144"/>
  <c r="AD197" i="22144"/>
  <c r="AH197" i="22144" s="1"/>
  <c r="AD196" i="22144"/>
  <c r="AH196" i="22144" s="1"/>
  <c r="AD195" i="22144"/>
  <c r="AE195" i="22144" s="1"/>
  <c r="U194" i="22144"/>
  <c r="AD193" i="22144"/>
  <c r="AE193" i="22144" s="1"/>
  <c r="AD192" i="22144"/>
  <c r="AE192" i="22144" s="1"/>
  <c r="U191" i="22144"/>
  <c r="W191" i="22144" s="1"/>
  <c r="U190" i="22144"/>
  <c r="V190" i="22144" s="1"/>
  <c r="U189" i="22144"/>
  <c r="U188" i="22144"/>
  <c r="U187" i="22144"/>
  <c r="V187" i="22144" s="1"/>
  <c r="AD186" i="22144"/>
  <c r="AE186" i="22144" s="1"/>
  <c r="AD185" i="22144"/>
  <c r="AG185" i="22144" s="1"/>
  <c r="AD184" i="22144"/>
  <c r="AE184" i="22144" s="1"/>
  <c r="X183" i="22144"/>
  <c r="AD183" i="22144" s="1"/>
  <c r="AG183" i="22144" s="1"/>
  <c r="U182" i="22144"/>
  <c r="W182" i="22144" s="1"/>
  <c r="AD181" i="22144"/>
  <c r="AF181" i="22144" s="1"/>
  <c r="AD180" i="22144"/>
  <c r="AG180" i="22144" s="1"/>
  <c r="AD179" i="22144"/>
  <c r="AH179" i="22144" s="1"/>
  <c r="AD178" i="22144"/>
  <c r="AF178" i="22144" s="1"/>
  <c r="AD177" i="22144"/>
  <c r="AE177" i="22144" s="1"/>
  <c r="U176" i="22144"/>
  <c r="V176" i="22144" s="1"/>
  <c r="U175" i="22144"/>
  <c r="W175" i="22144" s="1"/>
  <c r="U174" i="22144"/>
  <c r="W174" i="22144" s="1"/>
  <c r="U173" i="22144"/>
  <c r="AD173" i="22144" s="1"/>
  <c r="AG173" i="22144" s="1"/>
  <c r="U172" i="22144"/>
  <c r="AD172" i="22144" s="1"/>
  <c r="AG172" i="22144" s="1"/>
  <c r="U171" i="22144"/>
  <c r="AD170" i="22144"/>
  <c r="AE170" i="22144" s="1"/>
  <c r="AD169" i="22144"/>
  <c r="AF169" i="22144" s="1"/>
  <c r="U168" i="22144"/>
  <c r="W168" i="22144" s="1"/>
  <c r="AD167" i="22144"/>
  <c r="AH167" i="22144" s="1"/>
  <c r="AD166" i="22144"/>
  <c r="U165" i="22144"/>
  <c r="AD165" i="22144" s="1"/>
  <c r="AE165" i="22144" s="1"/>
  <c r="AD164" i="22144"/>
  <c r="AE164" i="22144" s="1"/>
  <c r="X163" i="22144"/>
  <c r="Z163" i="22144" s="1"/>
  <c r="AD162" i="22144"/>
  <c r="AH162" i="22144" s="1"/>
  <c r="AD161" i="22144"/>
  <c r="AE161" i="22144" s="1"/>
  <c r="U160" i="22144"/>
  <c r="W160" i="22144" s="1"/>
  <c r="AD159" i="22144"/>
  <c r="AD158" i="22144"/>
  <c r="AD157" i="22144"/>
  <c r="AG157" i="22144" s="1"/>
  <c r="AD156" i="22144"/>
  <c r="AD155" i="22144"/>
  <c r="AH155" i="22144" s="1"/>
  <c r="AD154" i="22144"/>
  <c r="AE154" i="22144" s="1"/>
  <c r="AD153" i="22144"/>
  <c r="AD152" i="22144"/>
  <c r="AH152" i="22144" s="1"/>
  <c r="AD151" i="22144"/>
  <c r="AE151" i="22144" s="1"/>
  <c r="AD150" i="22144"/>
  <c r="U149" i="22144"/>
  <c r="W149" i="22144" s="1"/>
  <c r="AD148" i="22144"/>
  <c r="AF148" i="22144" s="1"/>
  <c r="AD147" i="22144"/>
  <c r="AG147" i="22144" s="1"/>
  <c r="AD146" i="22144"/>
  <c r="AE146" i="22144" s="1"/>
  <c r="U145" i="22144"/>
  <c r="AD144" i="22144"/>
  <c r="AH144" i="22144" s="1"/>
  <c r="AD143" i="22144"/>
  <c r="AD142" i="22144"/>
  <c r="AE142" i="22144" s="1"/>
  <c r="AD141" i="22144"/>
  <c r="AE141" i="22144" s="1"/>
  <c r="AD140" i="22144"/>
  <c r="AD139" i="22144"/>
  <c r="AF139" i="22144" s="1"/>
  <c r="AD138" i="22144"/>
  <c r="X137" i="22144"/>
  <c r="AD136" i="22144"/>
  <c r="AE136" i="22144" s="1"/>
  <c r="AD135" i="22144"/>
  <c r="U134" i="22144"/>
  <c r="AD134" i="22144" s="1"/>
  <c r="AF134" i="22144" s="1"/>
  <c r="AD133" i="22144"/>
  <c r="AF133" i="22144" s="1"/>
  <c r="X132" i="22144"/>
  <c r="Z132" i="22144" s="1"/>
  <c r="U132" i="22144"/>
  <c r="AD131" i="22144"/>
  <c r="AG131" i="22144" s="1"/>
  <c r="U130" i="22144"/>
  <c r="AD129" i="22144"/>
  <c r="AF129" i="22144" s="1"/>
  <c r="AD128" i="22144"/>
  <c r="AD127" i="22144"/>
  <c r="AF127" i="22144" s="1"/>
  <c r="AD126" i="22144"/>
  <c r="AE126" i="22144" s="1"/>
  <c r="AD125" i="22144"/>
  <c r="AG125" i="22144" s="1"/>
  <c r="X124" i="22144"/>
  <c r="AD124" i="22144" s="1"/>
  <c r="AG124" i="22144" s="1"/>
  <c r="AD123" i="22144"/>
  <c r="AD122" i="22144"/>
  <c r="AE122" i="22144" s="1"/>
  <c r="AD121" i="22144"/>
  <c r="AG121" i="22144" s="1"/>
  <c r="AD120" i="22144"/>
  <c r="U119" i="22144"/>
  <c r="AD118" i="22144"/>
  <c r="AE118" i="22144" s="1"/>
  <c r="AD117" i="22144"/>
  <c r="AF117" i="22144" s="1"/>
  <c r="X116" i="22144"/>
  <c r="AD116" i="22144" s="1"/>
  <c r="AG116" i="22144" s="1"/>
  <c r="AD115" i="22144"/>
  <c r="AH115" i="22144" s="1"/>
  <c r="X114" i="22144"/>
  <c r="X113" i="22144"/>
  <c r="Y113" i="22144" s="1"/>
  <c r="X112" i="22144"/>
  <c r="Y112" i="22144" s="1"/>
  <c r="U111" i="22144"/>
  <c r="X110" i="22144"/>
  <c r="Z110" i="22144" s="1"/>
  <c r="AD109" i="22144"/>
  <c r="AG109" i="22144" s="1"/>
  <c r="U108" i="22144"/>
  <c r="AD107" i="22144"/>
  <c r="AH107" i="22144" s="1"/>
  <c r="X106" i="22144"/>
  <c r="Z106" i="22144" s="1"/>
  <c r="U105" i="22144"/>
  <c r="AD104" i="22144"/>
  <c r="AG104" i="22144" s="1"/>
  <c r="U103" i="22144"/>
  <c r="V103" i="22144" s="1"/>
  <c r="AD102" i="22144"/>
  <c r="AD101" i="22144"/>
  <c r="AF101" i="22144" s="1"/>
  <c r="U100" i="22144"/>
  <c r="W100" i="22144" s="1"/>
  <c r="AD99" i="22144"/>
  <c r="AE99" i="22144" s="1"/>
  <c r="AD98" i="22144"/>
  <c r="AF98" i="22144" s="1"/>
  <c r="U97" i="22144"/>
  <c r="AD97" i="22144" s="1"/>
  <c r="AG97" i="22144" s="1"/>
  <c r="AD96" i="22144"/>
  <c r="AG96" i="22144" s="1"/>
  <c r="U95" i="22144"/>
  <c r="V95" i="22144" s="1"/>
  <c r="U94" i="22144"/>
  <c r="AD94" i="22144" s="1"/>
  <c r="AH94" i="22144" s="1"/>
  <c r="U93" i="22144"/>
  <c r="X92" i="22144"/>
  <c r="Z92" i="22144" s="1"/>
  <c r="AD91" i="22144"/>
  <c r="AF91" i="22144" s="1"/>
  <c r="AD90" i="22144"/>
  <c r="AG90" i="22144" s="1"/>
  <c r="AD89" i="22144"/>
  <c r="AE89" i="22144" s="1"/>
  <c r="AD88" i="22144"/>
  <c r="AG88" i="22144" s="1"/>
  <c r="U87" i="22144"/>
  <c r="V87" i="22144" s="1"/>
  <c r="U86" i="22144"/>
  <c r="V86" i="22144" s="1"/>
  <c r="AD85" i="22144"/>
  <c r="AH85" i="22144" s="1"/>
  <c r="AD84" i="22144"/>
  <c r="AD83" i="22144"/>
  <c r="AE83" i="22144" s="1"/>
  <c r="X82" i="22144"/>
  <c r="Z82" i="22144" s="1"/>
  <c r="AD81" i="22144"/>
  <c r="AD80" i="22144"/>
  <c r="AH80" i="22144" s="1"/>
  <c r="AD79" i="22144"/>
  <c r="AE79" i="22144" s="1"/>
  <c r="AD78" i="22144"/>
  <c r="AF78" i="22144" s="1"/>
  <c r="AD77" i="22144"/>
  <c r="AG77" i="22144" s="1"/>
  <c r="U76" i="22144"/>
  <c r="AD76" i="22144" s="1"/>
  <c r="AE76" i="22144" s="1"/>
  <c r="U75" i="22144"/>
  <c r="W75" i="22144" s="1"/>
  <c r="X74" i="22144"/>
  <c r="X73" i="22144"/>
  <c r="Y73" i="22144" s="1"/>
  <c r="U73" i="22144"/>
  <c r="V73" i="22144" s="1"/>
  <c r="U72" i="22144"/>
  <c r="V72" i="22144" s="1"/>
  <c r="AD71" i="22144"/>
  <c r="AD70" i="22144"/>
  <c r="AF70" i="22144" s="1"/>
  <c r="AD69" i="22144"/>
  <c r="AH69" i="22144" s="1"/>
  <c r="X68" i="22144"/>
  <c r="AD68" i="22144" s="1"/>
  <c r="AH68" i="22144" s="1"/>
  <c r="AD67" i="22144"/>
  <c r="AG67" i="22144" s="1"/>
  <c r="AD66" i="22144"/>
  <c r="AH66" i="22144" s="1"/>
  <c r="U65" i="22144"/>
  <c r="AD64" i="22144"/>
  <c r="AH64" i="22144" s="1"/>
  <c r="AA63" i="22144"/>
  <c r="AD62" i="22144"/>
  <c r="AH62" i="22144" s="1"/>
  <c r="AD61" i="22144"/>
  <c r="AH61" i="22144" s="1"/>
  <c r="X60" i="22144"/>
  <c r="AD60" i="22144" s="1"/>
  <c r="AG60" i="22144" s="1"/>
  <c r="AD59" i="22144"/>
  <c r="AG59" i="22144" s="1"/>
  <c r="AD58" i="22144"/>
  <c r="X57" i="22144"/>
  <c r="Y57" i="22144" s="1"/>
  <c r="U57" i="22144"/>
  <c r="V57" i="22144" s="1"/>
  <c r="AD56" i="22144"/>
  <c r="AF56" i="22144" s="1"/>
  <c r="X55" i="22144"/>
  <c r="U54" i="22144"/>
  <c r="AD53" i="22144"/>
  <c r="AH53" i="22144" s="1"/>
  <c r="U52" i="22144"/>
  <c r="U51" i="22144"/>
  <c r="AD51" i="22144" s="1"/>
  <c r="AF51" i="22144" s="1"/>
  <c r="AD50" i="22144"/>
  <c r="U49" i="22144"/>
  <c r="V49" i="22144" s="1"/>
  <c r="AD48" i="22144"/>
  <c r="AH48" i="22144" s="1"/>
  <c r="U47" i="22144"/>
  <c r="V47" i="22144" s="1"/>
  <c r="U46" i="22144"/>
  <c r="V46" i="22144" s="1"/>
  <c r="U45" i="22144"/>
  <c r="AD45" i="22144" s="1"/>
  <c r="AH45" i="22144" s="1"/>
  <c r="AD44" i="22144"/>
  <c r="AE44" i="22144" s="1"/>
  <c r="X43" i="22144"/>
  <c r="Y43" i="22144" s="1"/>
  <c r="U43" i="22144"/>
  <c r="W43" i="22144" s="1"/>
  <c r="AD42" i="22144"/>
  <c r="AD41" i="22144"/>
  <c r="AH41" i="22144" s="1"/>
  <c r="AD40" i="22144"/>
  <c r="AH40" i="22144" s="1"/>
  <c r="U39" i="22144"/>
  <c r="V39" i="22144" s="1"/>
  <c r="AD38" i="22144"/>
  <c r="AD37" i="22144"/>
  <c r="AH37" i="22144" s="1"/>
  <c r="AD36" i="22144"/>
  <c r="AF36" i="22144" s="1"/>
  <c r="AD35" i="22144"/>
  <c r="AH35" i="22144" s="1"/>
  <c r="AD34" i="22144"/>
  <c r="AE34" i="22144" s="1"/>
  <c r="U33" i="22144"/>
  <c r="V33" i="22144" s="1"/>
  <c r="AD32" i="22144"/>
  <c r="AF32" i="22144" s="1"/>
  <c r="AD31" i="22144"/>
  <c r="AE31" i="22144" s="1"/>
  <c r="U30" i="22144"/>
  <c r="AD30" i="22144" s="1"/>
  <c r="AE30" i="22144" s="1"/>
  <c r="U29" i="22144"/>
  <c r="AD28" i="22144"/>
  <c r="AF28" i="22144" s="1"/>
  <c r="AD27" i="22144"/>
  <c r="AH27" i="22144" s="1"/>
  <c r="U26" i="22144"/>
  <c r="AD26" i="22144" s="1"/>
  <c r="AE26" i="22144" s="1"/>
  <c r="AD25" i="22144"/>
  <c r="AD24" i="22144"/>
  <c r="AF24" i="22144" s="1"/>
  <c r="U23" i="22144"/>
  <c r="U22" i="22144"/>
  <c r="AD22" i="22144" s="1"/>
  <c r="AG22" i="22144" s="1"/>
  <c r="AD21" i="22144"/>
  <c r="AG21" i="22144" s="1"/>
  <c r="AD20" i="22144"/>
  <c r="AF20" i="22144" s="1"/>
  <c r="U19" i="22144"/>
  <c r="U18" i="22144"/>
  <c r="AD18" i="22144" s="1"/>
  <c r="AD17" i="22144"/>
  <c r="AG17" i="22144" s="1"/>
  <c r="X16" i="22144"/>
  <c r="Z16" i="22144" s="1"/>
  <c r="U15" i="22144"/>
  <c r="V15" i="22144" s="1"/>
  <c r="X14" i="22144"/>
  <c r="AD14" i="22144" s="1"/>
  <c r="AE14" i="22144" s="1"/>
  <c r="AD13" i="22144"/>
  <c r="AE13" i="22144" s="1"/>
  <c r="AD12" i="22144"/>
  <c r="AH12" i="22144" s="1"/>
  <c r="AD11" i="22144"/>
  <c r="AF11" i="22144" s="1"/>
  <c r="AD10" i="22144"/>
  <c r="AH10" i="22144" s="1"/>
  <c r="AD9" i="22144"/>
  <c r="AG9" i="22144" s="1"/>
  <c r="AD8" i="22144"/>
  <c r="AF8" i="22144" s="1"/>
  <c r="AD7" i="22144"/>
  <c r="AH7" i="22144" s="1"/>
  <c r="X6" i="22144"/>
  <c r="Y6" i="22144" s="1"/>
  <c r="AS11" i="22144"/>
  <c r="AS16" i="22144"/>
  <c r="AS17" i="22144"/>
  <c r="AS24" i="22144"/>
  <c r="AS26" i="22144"/>
  <c r="AS55" i="22144"/>
  <c r="AS56" i="22144"/>
  <c r="AS67" i="22144"/>
  <c r="AS71" i="22144"/>
  <c r="AS76" i="22144"/>
  <c r="AS77" i="22144"/>
  <c r="AS86" i="22144"/>
  <c r="AS93" i="22144"/>
  <c r="AS99" i="22144"/>
  <c r="AS100" i="22144"/>
  <c r="AS102" i="22144"/>
  <c r="AS112" i="22144"/>
  <c r="AS114" i="22144"/>
  <c r="AS115" i="22144"/>
  <c r="AS119" i="22144"/>
  <c r="AS120" i="22144"/>
  <c r="AS124" i="22144"/>
  <c r="AS130" i="22144"/>
  <c r="AS140" i="22144"/>
  <c r="AS146" i="22144"/>
  <c r="AS150" i="22144"/>
  <c r="AS152" i="22144"/>
  <c r="AS155" i="22144"/>
  <c r="AS160" i="22144"/>
  <c r="AS161" i="22144"/>
  <c r="AS168" i="22144"/>
  <c r="AS172" i="22144"/>
  <c r="AS176" i="22144"/>
  <c r="AS184" i="22144"/>
  <c r="AS185" i="22144"/>
  <c r="AS187" i="22144"/>
  <c r="AS190" i="22144"/>
  <c r="AS195" i="22144"/>
  <c r="AS198" i="22144"/>
  <c r="AS199" i="22144"/>
  <c r="AS204" i="22144"/>
  <c r="AS207" i="22144"/>
  <c r="AS208" i="22144"/>
  <c r="AS209" i="22144"/>
  <c r="AS213" i="22144"/>
  <c r="AS215" i="22144"/>
  <c r="AS222" i="22144"/>
  <c r="AS223" i="22144"/>
  <c r="AS232" i="22144"/>
  <c r="AS234" i="22144"/>
  <c r="AS236" i="22144"/>
  <c r="AS237" i="22144"/>
  <c r="AS240" i="22144"/>
  <c r="AS241" i="22144"/>
  <c r="AS244" i="22144"/>
  <c r="AS248" i="22144"/>
  <c r="AS250" i="22144"/>
  <c r="AS253" i="22144"/>
  <c r="AS258" i="22144"/>
  <c r="AS259" i="22144"/>
  <c r="AS266" i="22144"/>
  <c r="AS267" i="22144"/>
  <c r="AS274" i="22144"/>
  <c r="AS277" i="22144"/>
  <c r="AS286" i="22144"/>
  <c r="AS287" i="22144"/>
  <c r="AS291" i="22144"/>
  <c r="AS293" i="22144"/>
  <c r="AS295" i="22144"/>
  <c r="AS296" i="22144"/>
  <c r="AS297" i="22144"/>
  <c r="AS298" i="22144"/>
  <c r="AS300" i="22144"/>
  <c r="AS308" i="22144"/>
  <c r="AS317" i="22144"/>
  <c r="AS325" i="22144"/>
  <c r="AS326" i="22144"/>
  <c r="AS327" i="22144"/>
  <c r="AS335" i="22144"/>
  <c r="AS336" i="22144"/>
  <c r="AS337" i="22144"/>
  <c r="AS338" i="22144"/>
  <c r="AS344" i="22144"/>
  <c r="AS347" i="22144"/>
  <c r="AS353" i="22144"/>
  <c r="AS354" i="22144"/>
  <c r="AS355" i="22144"/>
  <c r="AS358" i="22144"/>
  <c r="AS364" i="22144"/>
  <c r="AS368" i="22144"/>
  <c r="AS369" i="22144"/>
  <c r="AS374" i="22144"/>
  <c r="AS380" i="22144"/>
  <c r="AS384" i="22144"/>
  <c r="AS395" i="22144"/>
  <c r="AS411" i="22144"/>
  <c r="AS422" i="22144"/>
  <c r="AS426" i="22144"/>
  <c r="AS427" i="22144"/>
  <c r="AS428" i="22144"/>
  <c r="AS432" i="22144"/>
  <c r="AS435" i="22144"/>
  <c r="AS439" i="22144"/>
  <c r="AS9" i="22144"/>
  <c r="AS13" i="22144"/>
  <c r="AS15" i="22144"/>
  <c r="AS22" i="22144"/>
  <c r="AS25" i="22144"/>
  <c r="AS30" i="22144"/>
  <c r="AS37" i="22144"/>
  <c r="AS40" i="22144"/>
  <c r="AS41" i="22144"/>
  <c r="AS42" i="22144"/>
  <c r="AS44" i="22144"/>
  <c r="AS45" i="22144"/>
  <c r="AS47" i="22144"/>
  <c r="AS49" i="22144"/>
  <c r="AS59" i="22144"/>
  <c r="AS66" i="22144"/>
  <c r="AS69" i="22144"/>
  <c r="AS70" i="22144"/>
  <c r="AS72" i="22144"/>
  <c r="AS84" i="22144"/>
  <c r="AS90" i="22144"/>
  <c r="AS101" i="22144"/>
  <c r="AS103" i="22144"/>
  <c r="AS110" i="22144"/>
  <c r="AS125" i="22144"/>
  <c r="AS126" i="22144"/>
  <c r="AS127" i="22144"/>
  <c r="AS133" i="22144"/>
  <c r="AS141" i="22144"/>
  <c r="AS144" i="22144"/>
  <c r="AS145" i="22144"/>
  <c r="AS147" i="22144"/>
  <c r="AS149" i="22144"/>
  <c r="AS151" i="22144"/>
  <c r="AS154" i="22144"/>
  <c r="AS158" i="22144"/>
  <c r="AS159" i="22144"/>
  <c r="AS162" i="22144"/>
  <c r="AS166" i="22144"/>
  <c r="AS167" i="22144"/>
  <c r="AS179" i="22144"/>
  <c r="AS183" i="22144"/>
  <c r="AS189" i="22144"/>
  <c r="AS196" i="22144"/>
  <c r="AS200" i="22144"/>
  <c r="AS203" i="22144"/>
  <c r="AS210" i="22144"/>
  <c r="AS214" i="22144"/>
  <c r="AS219" i="22144"/>
  <c r="AS227" i="22144"/>
  <c r="AS228" i="22144"/>
  <c r="AS230" i="22144"/>
  <c r="AS231" i="22144"/>
  <c r="AS243" i="22144"/>
  <c r="AS245" i="22144"/>
  <c r="AS246" i="22144"/>
  <c r="AS255" i="22144"/>
  <c r="AS256" i="22144"/>
  <c r="AS265" i="22144"/>
  <c r="AS268" i="22144"/>
  <c r="AS269" i="22144"/>
  <c r="AS272" i="22144"/>
  <c r="AS275" i="22144"/>
  <c r="AS279" i="22144"/>
  <c r="AS280" i="22144"/>
  <c r="AS281" i="22144"/>
  <c r="AS299" i="22144"/>
  <c r="AS303" i="22144"/>
  <c r="AS305" i="22144"/>
  <c r="AS306" i="22144"/>
  <c r="AS318" i="22144"/>
  <c r="AS319" i="22144"/>
  <c r="AS320" i="22144"/>
  <c r="AS322" i="22144"/>
  <c r="AS331" i="22144"/>
  <c r="AS333" i="22144"/>
  <c r="AS340" i="22144"/>
  <c r="AS341" i="22144"/>
  <c r="AS342" i="22144"/>
  <c r="AS346" i="22144"/>
  <c r="AS349" i="22144"/>
  <c r="AS350" i="22144"/>
  <c r="AS351" i="22144"/>
  <c r="AS357" i="22144"/>
  <c r="AS362" i="22144"/>
  <c r="AS363" i="22144"/>
  <c r="AS370" i="22144"/>
  <c r="AS376" i="22144"/>
  <c r="AS383" i="22144"/>
  <c r="AS385" i="22144"/>
  <c r="AS386" i="22144"/>
  <c r="AS389" i="22144"/>
  <c r="AS390" i="22144"/>
  <c r="AS391" i="22144"/>
  <c r="AS392" i="22144"/>
  <c r="AS393" i="22144"/>
  <c r="AS397" i="22144"/>
  <c r="AS400" i="22144"/>
  <c r="AS409" i="22144"/>
  <c r="AS413" i="22144"/>
  <c r="AS418" i="22144"/>
  <c r="AS419" i="22144"/>
  <c r="AS423" i="22144"/>
  <c r="AS425" i="22144"/>
  <c r="AS430" i="22144"/>
  <c r="AS438" i="22144"/>
  <c r="AS443" i="22144"/>
  <c r="AS449" i="22144"/>
  <c r="AS450" i="22144"/>
  <c r="AS452" i="22144"/>
  <c r="AS453" i="22144"/>
  <c r="AS6" i="22144"/>
  <c r="AS19" i="22144"/>
  <c r="AS28" i="22144"/>
  <c r="AS32" i="22144"/>
  <c r="AS36" i="22144"/>
  <c r="AS38" i="22144"/>
  <c r="AS39" i="22144"/>
  <c r="AS43" i="22144"/>
  <c r="AS53" i="22144"/>
  <c r="AS58" i="22144"/>
  <c r="AS60" i="22144"/>
  <c r="AS61" i="22144"/>
  <c r="AS62" i="22144"/>
  <c r="AS63" i="22144"/>
  <c r="AS78" i="22144"/>
  <c r="AS87" i="22144"/>
  <c r="AS96" i="22144"/>
  <c r="AS97" i="22144"/>
  <c r="AS98" i="22144"/>
  <c r="AS108" i="22144"/>
  <c r="AS109" i="22144"/>
  <c r="AS111" i="22144"/>
  <c r="AS116" i="22144"/>
  <c r="AS121" i="22144"/>
  <c r="AS132" i="22144"/>
  <c r="AS137" i="22144"/>
  <c r="AS138" i="22144"/>
  <c r="AS142" i="22144"/>
  <c r="AS143" i="22144"/>
  <c r="AS171" i="22144"/>
  <c r="AS174" i="22144"/>
  <c r="AS186" i="22144"/>
  <c r="AS193" i="22144"/>
  <c r="AS206" i="22144"/>
  <c r="AS216" i="22144"/>
  <c r="AS221" i="22144"/>
  <c r="AS224" i="22144"/>
  <c r="AS225" i="22144"/>
  <c r="AS226" i="22144"/>
  <c r="AS238" i="22144"/>
  <c r="AS239" i="22144"/>
  <c r="AS249" i="22144"/>
  <c r="AS251" i="22144"/>
  <c r="AS252" i="22144"/>
  <c r="AS270" i="22144"/>
  <c r="AS283" i="22144"/>
  <c r="AS290" i="22144"/>
  <c r="AS294" i="22144"/>
  <c r="AS302" i="22144"/>
  <c r="AS309" i="22144"/>
  <c r="AS314" i="22144"/>
  <c r="AS316" i="22144"/>
  <c r="AS324" i="22144"/>
  <c r="AS329" i="22144"/>
  <c r="AS332" i="22144"/>
  <c r="AS334" i="22144"/>
  <c r="AS352" i="22144"/>
  <c r="AS359" i="22144"/>
  <c r="AS361" i="22144"/>
  <c r="AS371" i="22144"/>
  <c r="AS372" i="22144"/>
  <c r="AS375" i="22144"/>
  <c r="AS399" i="22144"/>
  <c r="AS401" i="22144"/>
  <c r="AS402" i="22144"/>
  <c r="AS403" i="22144"/>
  <c r="AS405" i="22144"/>
  <c r="AS407" i="22144"/>
  <c r="AS408" i="22144"/>
  <c r="AS416" i="22144"/>
  <c r="AS424" i="22144"/>
  <c r="AS429" i="22144"/>
  <c r="AS431" i="22144"/>
  <c r="AS433" i="22144"/>
  <c r="AS436" i="22144"/>
  <c r="AS446" i="22144"/>
  <c r="AS448" i="22144"/>
  <c r="AS451" i="22144"/>
  <c r="AS7" i="22144"/>
  <c r="AS10" i="22144"/>
  <c r="AS12" i="22144"/>
  <c r="AS23" i="22144"/>
  <c r="AS27" i="22144"/>
  <c r="AS29" i="22144"/>
  <c r="AS31" i="22144"/>
  <c r="AS33" i="22144"/>
  <c r="AS46" i="22144"/>
  <c r="AS48" i="22144"/>
  <c r="AS50" i="22144"/>
  <c r="AS52" i="22144"/>
  <c r="AS54" i="22144"/>
  <c r="AS64" i="22144"/>
  <c r="AS65" i="22144"/>
  <c r="AS68" i="22144"/>
  <c r="AS73" i="22144"/>
  <c r="AS74" i="22144"/>
  <c r="AS75" i="22144"/>
  <c r="AS89" i="22144"/>
  <c r="AS117" i="22144"/>
  <c r="AS122" i="22144"/>
  <c r="AS123" i="22144"/>
  <c r="AS134" i="22144"/>
  <c r="AS135" i="22144"/>
  <c r="AS139" i="22144"/>
  <c r="AS163" i="22144"/>
  <c r="AS164" i="22144"/>
  <c r="AS165" i="22144"/>
  <c r="AS169" i="22144"/>
  <c r="AS173" i="22144"/>
  <c r="AS178" i="22144"/>
  <c r="AS188" i="22144"/>
  <c r="AS191" i="22144"/>
  <c r="AS192" i="22144"/>
  <c r="AS201" i="22144"/>
  <c r="AS202" i="22144"/>
  <c r="AS211" i="22144"/>
  <c r="AS212" i="22144"/>
  <c r="AS233" i="22144"/>
  <c r="AS247" i="22144"/>
  <c r="AS254" i="22144"/>
  <c r="AS257" i="22144"/>
  <c r="AS260" i="22144"/>
  <c r="AS261" i="22144"/>
  <c r="AS262" i="22144"/>
  <c r="AS263" i="22144"/>
  <c r="AS264" i="22144"/>
  <c r="AS273" i="22144"/>
  <c r="AS278" i="22144"/>
  <c r="AS282" i="22144"/>
  <c r="AS284" i="22144"/>
  <c r="AS285" i="22144"/>
  <c r="AS288" i="22144"/>
  <c r="AS292" i="22144"/>
  <c r="AS304" i="22144"/>
  <c r="AS307" i="22144"/>
  <c r="AS312" i="22144"/>
  <c r="AS313" i="22144"/>
  <c r="AS315" i="22144"/>
  <c r="AS321" i="22144"/>
  <c r="AS323" i="22144"/>
  <c r="AS328" i="22144"/>
  <c r="AS330" i="22144"/>
  <c r="AS339" i="22144"/>
  <c r="AS343" i="22144"/>
  <c r="AS365" i="22144"/>
  <c r="AS367" i="22144"/>
  <c r="AS377" i="22144"/>
  <c r="AS381" i="22144"/>
  <c r="AS387" i="22144"/>
  <c r="AS388" i="22144"/>
  <c r="AS396" i="22144"/>
  <c r="AS398" i="22144"/>
  <c r="AS417" i="22144"/>
  <c r="AS420" i="22144"/>
  <c r="AS437" i="22144"/>
  <c r="AS440" i="22144"/>
  <c r="AS442" i="22144"/>
  <c r="AS447" i="22144"/>
  <c r="AS14" i="22144"/>
  <c r="AS18" i="22144"/>
  <c r="AS20" i="22144"/>
  <c r="AS21" i="22144"/>
  <c r="AS34" i="22144"/>
  <c r="AS35" i="22144"/>
  <c r="AS51" i="22144"/>
  <c r="AS57" i="22144"/>
  <c r="AS79" i="22144"/>
  <c r="AS80" i="22144"/>
  <c r="AS81" i="22144"/>
  <c r="AS82" i="22144"/>
  <c r="AS83" i="22144"/>
  <c r="AS85" i="22144"/>
  <c r="AS88" i="22144"/>
  <c r="AS91" i="22144"/>
  <c r="AS92" i="22144"/>
  <c r="AS94" i="22144"/>
  <c r="AS95" i="22144"/>
  <c r="AS104" i="22144"/>
  <c r="AS105" i="22144"/>
  <c r="AS106" i="22144"/>
  <c r="AS107" i="22144"/>
  <c r="AS113" i="22144"/>
  <c r="AS118" i="22144"/>
  <c r="AS128" i="22144"/>
  <c r="AS129" i="22144"/>
  <c r="AS131" i="22144"/>
  <c r="AS136" i="22144"/>
  <c r="AS148" i="22144"/>
  <c r="AS153" i="22144"/>
  <c r="AS156" i="22144"/>
  <c r="AS157" i="22144"/>
  <c r="AS170" i="22144"/>
  <c r="AS175" i="22144"/>
  <c r="AS177" i="22144"/>
  <c r="AS180" i="22144"/>
  <c r="AS181" i="22144"/>
  <c r="AS182" i="22144"/>
  <c r="AS194" i="22144"/>
  <c r="AS197" i="22144"/>
  <c r="AS205" i="22144"/>
  <c r="AS217" i="22144"/>
  <c r="AS218" i="22144"/>
  <c r="AS220" i="22144"/>
  <c r="AS229" i="22144"/>
  <c r="AS235" i="22144"/>
  <c r="AS242" i="22144"/>
  <c r="AS271" i="22144"/>
  <c r="AS276" i="22144"/>
  <c r="AS289" i="22144"/>
  <c r="AS301" i="22144"/>
  <c r="AS310" i="22144"/>
  <c r="AS311" i="22144"/>
  <c r="AS345" i="22144"/>
  <c r="AS348" i="22144"/>
  <c r="AS356" i="22144"/>
  <c r="AS360" i="22144"/>
  <c r="AS366" i="22144"/>
  <c r="AS373" i="22144"/>
  <c r="AS378" i="22144"/>
  <c r="AS379" i="22144"/>
  <c r="AS382" i="22144"/>
  <c r="AS394" i="22144"/>
  <c r="AS404" i="22144"/>
  <c r="AS406" i="22144"/>
  <c r="AS410" i="22144"/>
  <c r="AS412" i="22144"/>
  <c r="AS414" i="22144"/>
  <c r="AS415" i="22144"/>
  <c r="AS421" i="22144"/>
  <c r="AS434" i="22144"/>
  <c r="AS441" i="22144"/>
  <c r="AS444" i="22144"/>
  <c r="AS445" i="22144"/>
  <c r="AS8" i="22144"/>
  <c r="AT5" i="22144"/>
  <c r="AQ11" i="22144"/>
  <c r="AQ16" i="22144"/>
  <c r="AQ17" i="22144"/>
  <c r="AQ24" i="22144"/>
  <c r="AQ26" i="22144"/>
  <c r="AQ55" i="22144"/>
  <c r="AQ56" i="22144"/>
  <c r="AQ67" i="22144"/>
  <c r="AQ71" i="22144"/>
  <c r="AQ76" i="22144"/>
  <c r="AQ77" i="22144"/>
  <c r="AQ86" i="22144"/>
  <c r="AQ93" i="22144"/>
  <c r="AQ99" i="22144"/>
  <c r="AQ100" i="22144"/>
  <c r="AQ102" i="22144"/>
  <c r="AQ112" i="22144"/>
  <c r="AQ114" i="22144"/>
  <c r="AQ115" i="22144"/>
  <c r="AQ119" i="22144"/>
  <c r="AQ120" i="22144"/>
  <c r="AQ124" i="22144"/>
  <c r="AQ130" i="22144"/>
  <c r="AQ140" i="22144"/>
  <c r="AQ146" i="22144"/>
  <c r="AQ150" i="22144"/>
  <c r="AQ152" i="22144"/>
  <c r="AQ155" i="22144"/>
  <c r="AQ160" i="22144"/>
  <c r="AQ161" i="22144"/>
  <c r="AQ168" i="22144"/>
  <c r="AQ172" i="22144"/>
  <c r="AQ176" i="22144"/>
  <c r="AQ184" i="22144"/>
  <c r="AQ185" i="22144"/>
  <c r="AQ187" i="22144"/>
  <c r="AQ190" i="22144"/>
  <c r="AQ195" i="22144"/>
  <c r="AQ198" i="22144"/>
  <c r="AQ199" i="22144"/>
  <c r="AQ204" i="22144"/>
  <c r="AQ207" i="22144"/>
  <c r="AQ208" i="22144"/>
  <c r="AQ209" i="22144"/>
  <c r="AQ213" i="22144"/>
  <c r="AQ215" i="22144"/>
  <c r="AQ222" i="22144"/>
  <c r="AQ223" i="22144"/>
  <c r="AQ232" i="22144"/>
  <c r="AQ234" i="22144"/>
  <c r="AQ236" i="22144"/>
  <c r="AQ237" i="22144"/>
  <c r="AQ240" i="22144"/>
  <c r="AQ241" i="22144"/>
  <c r="AQ244" i="22144"/>
  <c r="AQ248" i="22144"/>
  <c r="AQ250" i="22144"/>
  <c r="AQ253" i="22144"/>
  <c r="AQ258" i="22144"/>
  <c r="AQ259" i="22144"/>
  <c r="AQ266" i="22144"/>
  <c r="AQ267" i="22144"/>
  <c r="AQ274" i="22144"/>
  <c r="AQ277" i="22144"/>
  <c r="AQ286" i="22144"/>
  <c r="AQ287" i="22144"/>
  <c r="AQ291" i="22144"/>
  <c r="AQ293" i="22144"/>
  <c r="AQ295" i="22144"/>
  <c r="AQ296" i="22144"/>
  <c r="AQ297" i="22144"/>
  <c r="AQ298" i="22144"/>
  <c r="AQ300" i="22144"/>
  <c r="AQ308" i="22144"/>
  <c r="AQ317" i="22144"/>
  <c r="AQ325" i="22144"/>
  <c r="AQ326" i="22144"/>
  <c r="AQ327" i="22144"/>
  <c r="AQ335" i="22144"/>
  <c r="AQ336" i="22144"/>
  <c r="AQ337" i="22144"/>
  <c r="AQ338" i="22144"/>
  <c r="AQ344" i="22144"/>
  <c r="AQ347" i="22144"/>
  <c r="AQ353" i="22144"/>
  <c r="AQ354" i="22144"/>
  <c r="AQ355" i="22144"/>
  <c r="AQ358" i="22144"/>
  <c r="AQ364" i="22144"/>
  <c r="AQ368" i="22144"/>
  <c r="AQ369" i="22144"/>
  <c r="AQ374" i="22144"/>
  <c r="AQ380" i="22144"/>
  <c r="AQ384" i="22144"/>
  <c r="AQ395" i="22144"/>
  <c r="AQ411" i="22144"/>
  <c r="AQ422" i="22144"/>
  <c r="AQ426" i="22144"/>
  <c r="AQ427" i="22144"/>
  <c r="AQ428" i="22144"/>
  <c r="AQ432" i="22144"/>
  <c r="AQ435" i="22144"/>
  <c r="AQ439" i="22144"/>
  <c r="AQ9" i="22144"/>
  <c r="AQ13" i="22144"/>
  <c r="AQ15" i="22144"/>
  <c r="AQ22" i="22144"/>
  <c r="AQ25" i="22144"/>
  <c r="AQ30" i="22144"/>
  <c r="AQ37" i="22144"/>
  <c r="AQ40" i="22144"/>
  <c r="AQ41" i="22144"/>
  <c r="AQ42" i="22144"/>
  <c r="AQ44" i="22144"/>
  <c r="AQ45" i="22144"/>
  <c r="AQ47" i="22144"/>
  <c r="AQ49" i="22144"/>
  <c r="AQ59" i="22144"/>
  <c r="AQ66" i="22144"/>
  <c r="AQ69" i="22144"/>
  <c r="AQ70" i="22144"/>
  <c r="AQ72" i="22144"/>
  <c r="AQ84" i="22144"/>
  <c r="AQ90" i="22144"/>
  <c r="AQ101" i="22144"/>
  <c r="AQ103" i="22144"/>
  <c r="AQ110" i="22144"/>
  <c r="AQ125" i="22144"/>
  <c r="AQ126" i="22144"/>
  <c r="AQ127" i="22144"/>
  <c r="AQ133" i="22144"/>
  <c r="AQ141" i="22144"/>
  <c r="AQ144" i="22144"/>
  <c r="AQ145" i="22144"/>
  <c r="AQ147" i="22144"/>
  <c r="AQ149" i="22144"/>
  <c r="AQ151" i="22144"/>
  <c r="AQ154" i="22144"/>
  <c r="AQ158" i="22144"/>
  <c r="AQ159" i="22144"/>
  <c r="AQ162" i="22144"/>
  <c r="AQ166" i="22144"/>
  <c r="AQ167" i="22144"/>
  <c r="AQ179" i="22144"/>
  <c r="AQ183" i="22144"/>
  <c r="AQ189" i="22144"/>
  <c r="AQ196" i="22144"/>
  <c r="AQ200" i="22144"/>
  <c r="AQ203" i="22144"/>
  <c r="AQ210" i="22144"/>
  <c r="AQ214" i="22144"/>
  <c r="AQ219" i="22144"/>
  <c r="AQ227" i="22144"/>
  <c r="AQ228" i="22144"/>
  <c r="AQ230" i="22144"/>
  <c r="AQ231" i="22144"/>
  <c r="AQ243" i="22144"/>
  <c r="AQ245" i="22144"/>
  <c r="AQ246" i="22144"/>
  <c r="AQ255" i="22144"/>
  <c r="AQ256" i="22144"/>
  <c r="AQ265" i="22144"/>
  <c r="AQ268" i="22144"/>
  <c r="AQ269" i="22144"/>
  <c r="AQ272" i="22144"/>
  <c r="AQ275" i="22144"/>
  <c r="AQ279" i="22144"/>
  <c r="AQ280" i="22144"/>
  <c r="AQ281" i="22144"/>
  <c r="AQ299" i="22144"/>
  <c r="AQ303" i="22144"/>
  <c r="AQ305" i="22144"/>
  <c r="AQ306" i="22144"/>
  <c r="AQ318" i="22144"/>
  <c r="AQ319" i="22144"/>
  <c r="AQ320" i="22144"/>
  <c r="AQ322" i="22144"/>
  <c r="AQ331" i="22144"/>
  <c r="AQ333" i="22144"/>
  <c r="AQ340" i="22144"/>
  <c r="AQ341" i="22144"/>
  <c r="AQ342" i="22144"/>
  <c r="AQ346" i="22144"/>
  <c r="AQ349" i="22144"/>
  <c r="AQ350" i="22144"/>
  <c r="AQ351" i="22144"/>
  <c r="AQ357" i="22144"/>
  <c r="AQ362" i="22144"/>
  <c r="AQ363" i="22144"/>
  <c r="AQ370" i="22144"/>
  <c r="AQ376" i="22144"/>
  <c r="AQ383" i="22144"/>
  <c r="AQ385" i="22144"/>
  <c r="AQ386" i="22144"/>
  <c r="AQ389" i="22144"/>
  <c r="AQ390" i="22144"/>
  <c r="AQ391" i="22144"/>
  <c r="AQ392" i="22144"/>
  <c r="AQ393" i="22144"/>
  <c r="AQ397" i="22144"/>
  <c r="AQ400" i="22144"/>
  <c r="AQ409" i="22144"/>
  <c r="AQ413" i="22144"/>
  <c r="AQ418" i="22144"/>
  <c r="AQ419" i="22144"/>
  <c r="AQ423" i="22144"/>
  <c r="AQ425" i="22144"/>
  <c r="AQ430" i="22144"/>
  <c r="AQ438" i="22144"/>
  <c r="AQ443" i="22144"/>
  <c r="AQ449" i="22144"/>
  <c r="AQ450" i="22144"/>
  <c r="AQ452" i="22144"/>
  <c r="AQ453" i="22144"/>
  <c r="AQ6" i="22144"/>
  <c r="AQ19" i="22144"/>
  <c r="AQ28" i="22144"/>
  <c r="AQ32" i="22144"/>
  <c r="AQ36" i="22144"/>
  <c r="AQ38" i="22144"/>
  <c r="AQ39" i="22144"/>
  <c r="AQ43" i="22144"/>
  <c r="AQ53" i="22144"/>
  <c r="AQ58" i="22144"/>
  <c r="AQ60" i="22144"/>
  <c r="AQ61" i="22144"/>
  <c r="AQ62" i="22144"/>
  <c r="AQ63" i="22144"/>
  <c r="AQ78" i="22144"/>
  <c r="AQ87" i="22144"/>
  <c r="AQ96" i="22144"/>
  <c r="AQ97" i="22144"/>
  <c r="AQ98" i="22144"/>
  <c r="AQ108" i="22144"/>
  <c r="AQ109" i="22144"/>
  <c r="AQ111" i="22144"/>
  <c r="AQ116" i="22144"/>
  <c r="AQ121" i="22144"/>
  <c r="AQ132" i="22144"/>
  <c r="AQ137" i="22144"/>
  <c r="AQ138" i="22144"/>
  <c r="AQ142" i="22144"/>
  <c r="AQ143" i="22144"/>
  <c r="AQ171" i="22144"/>
  <c r="AQ174" i="22144"/>
  <c r="AQ186" i="22144"/>
  <c r="AQ193" i="22144"/>
  <c r="AQ206" i="22144"/>
  <c r="AQ216" i="22144"/>
  <c r="AQ221" i="22144"/>
  <c r="AQ224" i="22144"/>
  <c r="AQ225" i="22144"/>
  <c r="AQ226" i="22144"/>
  <c r="AQ238" i="22144"/>
  <c r="AQ239" i="22144"/>
  <c r="AQ249" i="22144"/>
  <c r="AQ251" i="22144"/>
  <c r="AQ252" i="22144"/>
  <c r="AQ270" i="22144"/>
  <c r="AQ283" i="22144"/>
  <c r="AQ290" i="22144"/>
  <c r="AQ294" i="22144"/>
  <c r="AQ302" i="22144"/>
  <c r="AQ309" i="22144"/>
  <c r="AQ314" i="22144"/>
  <c r="AQ316" i="22144"/>
  <c r="AQ324" i="22144"/>
  <c r="AQ329" i="22144"/>
  <c r="AQ332" i="22144"/>
  <c r="AQ334" i="22144"/>
  <c r="AQ352" i="22144"/>
  <c r="AQ359" i="22144"/>
  <c r="AQ361" i="22144"/>
  <c r="AQ371" i="22144"/>
  <c r="AQ372" i="22144"/>
  <c r="AQ375" i="22144"/>
  <c r="AQ399" i="22144"/>
  <c r="AQ401" i="22144"/>
  <c r="AQ402" i="22144"/>
  <c r="AQ403" i="22144"/>
  <c r="AQ405" i="22144"/>
  <c r="AQ407" i="22144"/>
  <c r="AQ408" i="22144"/>
  <c r="AQ416" i="22144"/>
  <c r="AQ424" i="22144"/>
  <c r="AQ429" i="22144"/>
  <c r="AQ431" i="22144"/>
  <c r="AQ433" i="22144"/>
  <c r="AQ436" i="22144"/>
  <c r="AQ446" i="22144"/>
  <c r="AQ448" i="22144"/>
  <c r="AQ451" i="22144"/>
  <c r="AQ7" i="22144"/>
  <c r="AQ10" i="22144"/>
  <c r="AQ12" i="22144"/>
  <c r="AQ23" i="22144"/>
  <c r="AQ27" i="22144"/>
  <c r="AQ29" i="22144"/>
  <c r="AQ31" i="22144"/>
  <c r="AQ33" i="22144"/>
  <c r="AQ46" i="22144"/>
  <c r="AQ48" i="22144"/>
  <c r="AQ50" i="22144"/>
  <c r="AQ52" i="22144"/>
  <c r="AQ54" i="22144"/>
  <c r="AQ64" i="22144"/>
  <c r="AQ65" i="22144"/>
  <c r="AQ68" i="22144"/>
  <c r="AQ73" i="22144"/>
  <c r="AQ74" i="22144"/>
  <c r="AQ75" i="22144"/>
  <c r="AQ89" i="22144"/>
  <c r="AQ117" i="22144"/>
  <c r="AQ122" i="22144"/>
  <c r="AQ123" i="22144"/>
  <c r="AQ134" i="22144"/>
  <c r="AQ135" i="22144"/>
  <c r="AQ139" i="22144"/>
  <c r="AQ163" i="22144"/>
  <c r="AQ164" i="22144"/>
  <c r="AQ165" i="22144"/>
  <c r="AQ169" i="22144"/>
  <c r="AQ173" i="22144"/>
  <c r="AQ178" i="22144"/>
  <c r="AQ188" i="22144"/>
  <c r="AQ191" i="22144"/>
  <c r="AQ192" i="22144"/>
  <c r="AQ201" i="22144"/>
  <c r="AQ202" i="22144"/>
  <c r="AQ211" i="22144"/>
  <c r="AQ212" i="22144"/>
  <c r="AQ233" i="22144"/>
  <c r="AQ247" i="22144"/>
  <c r="AQ254" i="22144"/>
  <c r="AQ257" i="22144"/>
  <c r="AQ260" i="22144"/>
  <c r="AQ261" i="22144"/>
  <c r="AQ262" i="22144"/>
  <c r="AQ263" i="22144"/>
  <c r="AQ264" i="22144"/>
  <c r="AQ273" i="22144"/>
  <c r="AQ278" i="22144"/>
  <c r="AQ282" i="22144"/>
  <c r="AQ284" i="22144"/>
  <c r="AQ285" i="22144"/>
  <c r="AQ288" i="22144"/>
  <c r="AQ292" i="22144"/>
  <c r="AQ304" i="22144"/>
  <c r="AQ307" i="22144"/>
  <c r="AQ312" i="22144"/>
  <c r="AQ313" i="22144"/>
  <c r="AQ315" i="22144"/>
  <c r="AQ321" i="22144"/>
  <c r="AQ323" i="22144"/>
  <c r="AQ328" i="22144"/>
  <c r="AQ330" i="22144"/>
  <c r="AQ339" i="22144"/>
  <c r="AQ343" i="22144"/>
  <c r="AQ365" i="22144"/>
  <c r="AQ367" i="22144"/>
  <c r="AQ377" i="22144"/>
  <c r="AQ381" i="22144"/>
  <c r="AQ387" i="22144"/>
  <c r="AQ388" i="22144"/>
  <c r="AQ396" i="22144"/>
  <c r="AQ398" i="22144"/>
  <c r="AQ417" i="22144"/>
  <c r="AQ420" i="22144"/>
  <c r="AQ437" i="22144"/>
  <c r="AQ440" i="22144"/>
  <c r="AQ442" i="22144"/>
  <c r="AQ447" i="22144"/>
  <c r="AQ14" i="22144"/>
  <c r="AQ18" i="22144"/>
  <c r="AQ20" i="22144"/>
  <c r="AQ21" i="22144"/>
  <c r="AQ34" i="22144"/>
  <c r="AQ35" i="22144"/>
  <c r="AQ51" i="22144"/>
  <c r="AQ57" i="22144"/>
  <c r="AQ79" i="22144"/>
  <c r="AQ80" i="22144"/>
  <c r="AQ81" i="22144"/>
  <c r="AQ82" i="22144"/>
  <c r="AQ83" i="22144"/>
  <c r="AQ85" i="22144"/>
  <c r="AQ88" i="22144"/>
  <c r="AQ91" i="22144"/>
  <c r="AQ92" i="22144"/>
  <c r="AQ94" i="22144"/>
  <c r="AQ95" i="22144"/>
  <c r="AQ104" i="22144"/>
  <c r="AQ105" i="22144"/>
  <c r="AQ106" i="22144"/>
  <c r="AQ107" i="22144"/>
  <c r="AQ113" i="22144"/>
  <c r="AQ118" i="22144"/>
  <c r="AQ128" i="22144"/>
  <c r="AQ129" i="22144"/>
  <c r="AQ131" i="22144"/>
  <c r="AQ136" i="22144"/>
  <c r="AQ148" i="22144"/>
  <c r="AQ153" i="22144"/>
  <c r="AQ156" i="22144"/>
  <c r="AQ157" i="22144"/>
  <c r="AQ170" i="22144"/>
  <c r="AQ175" i="22144"/>
  <c r="AQ177" i="22144"/>
  <c r="AQ180" i="22144"/>
  <c r="AQ181" i="22144"/>
  <c r="AQ182" i="22144"/>
  <c r="AQ194" i="22144"/>
  <c r="AQ197" i="22144"/>
  <c r="AQ205" i="22144"/>
  <c r="AQ217" i="22144"/>
  <c r="AQ218" i="22144"/>
  <c r="AQ220" i="22144"/>
  <c r="AQ229" i="22144"/>
  <c r="AQ235" i="22144"/>
  <c r="AQ242" i="22144"/>
  <c r="AQ271" i="22144"/>
  <c r="AQ276" i="22144"/>
  <c r="AQ289" i="22144"/>
  <c r="AQ301" i="22144"/>
  <c r="AQ310" i="22144"/>
  <c r="AQ311" i="22144"/>
  <c r="AQ345" i="22144"/>
  <c r="AQ348" i="22144"/>
  <c r="AQ356" i="22144"/>
  <c r="AQ360" i="22144"/>
  <c r="AQ366" i="22144"/>
  <c r="AQ373" i="22144"/>
  <c r="AQ378" i="22144"/>
  <c r="AQ379" i="22144"/>
  <c r="AQ382" i="22144"/>
  <c r="AQ394" i="22144"/>
  <c r="AQ404" i="22144"/>
  <c r="AQ406" i="22144"/>
  <c r="AQ410" i="22144"/>
  <c r="AQ412" i="22144"/>
  <c r="AQ414" i="22144"/>
  <c r="AQ415" i="22144"/>
  <c r="AQ421" i="22144"/>
  <c r="AQ434" i="22144"/>
  <c r="AQ441" i="22144"/>
  <c r="AQ444" i="22144"/>
  <c r="AQ445" i="22144"/>
  <c r="AQ8" i="22144"/>
  <c r="AR5" i="22144"/>
  <c r="AK5" i="22144"/>
  <c r="AJ5" i="22144"/>
  <c r="AI5" i="22144"/>
  <c r="AP5" i="22144"/>
  <c r="AO5" i="22144"/>
  <c r="D5" i="22144"/>
  <c r="W417" i="22144"/>
  <c r="Y266" i="22144"/>
  <c r="AD367" i="22144"/>
  <c r="AF367" i="22144" s="1"/>
  <c r="AD187" i="22144"/>
  <c r="AH187" i="22144" s="1"/>
  <c r="Y74" i="22144"/>
  <c r="Z57" i="22144"/>
  <c r="V266" i="22144"/>
  <c r="V29" i="22144"/>
  <c r="V100" i="22144"/>
  <c r="W373" i="22144"/>
  <c r="V446" i="22144"/>
  <c r="W86" i="22144" l="1"/>
  <c r="AD86" i="22144"/>
  <c r="AH86" i="22144" s="1"/>
  <c r="W261" i="22144"/>
  <c r="AD106" i="22144"/>
  <c r="AG106" i="22144" s="1"/>
  <c r="Y110" i="22144"/>
  <c r="AD392" i="22144"/>
  <c r="AH392" i="22144" s="1"/>
  <c r="Z388" i="22144"/>
  <c r="Y14" i="22144"/>
  <c r="AD328" i="22144"/>
  <c r="AE328" i="22144" s="1"/>
  <c r="V350" i="22144"/>
  <c r="W87" i="22144"/>
  <c r="AD241" i="22144"/>
  <c r="AF241" i="22144" s="1"/>
  <c r="AB283" i="22144"/>
  <c r="AD381" i="22144"/>
  <c r="AH381" i="22144" s="1"/>
  <c r="W176" i="22144"/>
  <c r="Y366" i="22144"/>
  <c r="AD182" i="22144"/>
  <c r="AG182" i="22144" s="1"/>
  <c r="AD344" i="22144"/>
  <c r="AE344" i="22144" s="1"/>
  <c r="W278" i="22144"/>
  <c r="Z229" i="22144"/>
  <c r="Z379" i="22144"/>
  <c r="Y132" i="22144"/>
  <c r="Y382" i="22144"/>
  <c r="V274" i="22144"/>
  <c r="AD245" i="22144"/>
  <c r="AE245" i="22144" s="1"/>
  <c r="W344" i="22144"/>
  <c r="W190" i="22144"/>
  <c r="W134" i="22144"/>
  <c r="W172" i="22144"/>
  <c r="Y68" i="22144"/>
  <c r="AD366" i="22144"/>
  <c r="AH366" i="22144" s="1"/>
  <c r="AD356" i="22144"/>
  <c r="AF356" i="22144" s="1"/>
  <c r="V372" i="22144"/>
  <c r="W318" i="22144"/>
  <c r="Z113" i="22144"/>
  <c r="AD113" i="22144"/>
  <c r="AH113" i="22144" s="1"/>
  <c r="W392" i="22144"/>
  <c r="AD229" i="22144"/>
  <c r="AG229" i="22144" s="1"/>
  <c r="AD176" i="22144"/>
  <c r="AH176" i="22144" s="1"/>
  <c r="AD168" i="22144"/>
  <c r="AG168" i="22144" s="1"/>
  <c r="W420" i="22144"/>
  <c r="Z43" i="22144"/>
  <c r="W245" i="22144"/>
  <c r="V168" i="22144"/>
  <c r="V402" i="22144"/>
  <c r="V23" i="22144"/>
  <c r="W23" i="22144"/>
  <c r="W29" i="22144"/>
  <c r="AD29" i="22144"/>
  <c r="AH29" i="22144" s="1"/>
  <c r="W54" i="22144"/>
  <c r="V54" i="22144"/>
  <c r="AD65" i="22144"/>
  <c r="AH65" i="22144" s="1"/>
  <c r="V65" i="22144"/>
  <c r="AD92" i="22144"/>
  <c r="AF92" i="22144" s="1"/>
  <c r="Y92" i="22144"/>
  <c r="W94" i="22144"/>
  <c r="V94" i="22144"/>
  <c r="Z112" i="22144"/>
  <c r="AD112" i="22144"/>
  <c r="AG112" i="22144" s="1"/>
  <c r="Z114" i="22144"/>
  <c r="X5" i="22144"/>
  <c r="AD114" i="22144"/>
  <c r="AF114" i="22144" s="1"/>
  <c r="Y114" i="22144"/>
  <c r="Z116" i="22144"/>
  <c r="Y116" i="22144"/>
  <c r="V132" i="22144"/>
  <c r="AD132" i="22144"/>
  <c r="AF132" i="22144" s="1"/>
  <c r="W132" i="22144"/>
  <c r="V145" i="22144"/>
  <c r="AD145" i="22144"/>
  <c r="AF145" i="22144" s="1"/>
  <c r="V149" i="22144"/>
  <c r="AD149" i="22144"/>
  <c r="AG149" i="22144" s="1"/>
  <c r="Y163" i="22144"/>
  <c r="AD163" i="22144"/>
  <c r="AE163" i="22144" s="1"/>
  <c r="V165" i="22144"/>
  <c r="W165" i="22144"/>
  <c r="V173" i="22144"/>
  <c r="W173" i="22144"/>
  <c r="W189" i="22144"/>
  <c r="AD189" i="22144"/>
  <c r="AH189" i="22144" s="1"/>
  <c r="V191" i="22144"/>
  <c r="AD191" i="22144"/>
  <c r="AF191" i="22144" s="1"/>
  <c r="AD205" i="22144"/>
  <c r="AH205" i="22144" s="1"/>
  <c r="W205" i="22144"/>
  <c r="V209" i="22144"/>
  <c r="W209" i="22144"/>
  <c r="V211" i="22144"/>
  <c r="W211" i="22144"/>
  <c r="W223" i="22144"/>
  <c r="AD223" i="22144"/>
  <c r="AG223" i="22144" s="1"/>
  <c r="W234" i="22144"/>
  <c r="AD234" i="22144"/>
  <c r="AH234" i="22144" s="1"/>
  <c r="W242" i="22144"/>
  <c r="AD242" i="22144"/>
  <c r="AG242" i="22144" s="1"/>
  <c r="AD250" i="22144"/>
  <c r="AG250" i="22144" s="1"/>
  <c r="Y250" i="22144"/>
  <c r="Y251" i="22144"/>
  <c r="Z251" i="22144"/>
  <c r="AD257" i="22144"/>
  <c r="AG257" i="22144" s="1"/>
  <c r="Y257" i="22144"/>
  <c r="W272" i="22144"/>
  <c r="V272" i="22144"/>
  <c r="AD286" i="22144"/>
  <c r="AG286" i="22144" s="1"/>
  <c r="V286" i="22144"/>
  <c r="W286" i="22144"/>
  <c r="Y287" i="22144"/>
  <c r="Z287" i="22144"/>
  <c r="W323" i="22144"/>
  <c r="V323" i="22144"/>
  <c r="V329" i="22144"/>
  <c r="AD329" i="22144"/>
  <c r="AH329" i="22144" s="1"/>
  <c r="V335" i="22144"/>
  <c r="AD335" i="22144"/>
  <c r="AF335" i="22144" s="1"/>
  <c r="W355" i="22144"/>
  <c r="AD355" i="22144"/>
  <c r="AF355" i="22144" s="1"/>
  <c r="V355" i="22144"/>
  <c r="V367" i="22144"/>
  <c r="W367" i="22144"/>
  <c r="AD389" i="22144"/>
  <c r="AG389" i="22144" s="1"/>
  <c r="W389" i="22144"/>
  <c r="V389" i="22144"/>
  <c r="W395" i="22144"/>
  <c r="AD395" i="22144"/>
  <c r="AF395" i="22144" s="1"/>
  <c r="W409" i="22144"/>
  <c r="V409" i="22144"/>
  <c r="AD411" i="22144"/>
  <c r="AH411" i="22144" s="1"/>
  <c r="V411" i="22144"/>
  <c r="W411" i="22144"/>
  <c r="W448" i="22144"/>
  <c r="AD448" i="22144"/>
  <c r="AF448" i="22144" s="1"/>
  <c r="W65" i="22144"/>
  <c r="AD446" i="22144"/>
  <c r="AF446" i="22144" s="1"/>
  <c r="AD23" i="22144"/>
  <c r="AG23" i="22144" s="1"/>
  <c r="AD263" i="22144"/>
  <c r="AG263" i="22144" s="1"/>
  <c r="W187" i="22144"/>
  <c r="V295" i="22144"/>
  <c r="V189" i="22144"/>
  <c r="AD323" i="22144"/>
  <c r="AG323" i="22144" s="1"/>
  <c r="AD209" i="22144"/>
  <c r="AE209" i="22144" s="1"/>
  <c r="AD110" i="22144"/>
  <c r="AF110" i="22144" s="1"/>
  <c r="V263" i="22144"/>
  <c r="AD261" i="22144"/>
  <c r="AE261" i="22144" s="1"/>
  <c r="AD54" i="22144"/>
  <c r="AF54" i="22144" s="1"/>
  <c r="W145" i="22144"/>
  <c r="W361" i="22144"/>
  <c r="AD417" i="22144"/>
  <c r="AH417" i="22144" s="1"/>
  <c r="V30" i="22144"/>
  <c r="W30" i="22144"/>
  <c r="V45" i="22144"/>
  <c r="W45" i="22144"/>
  <c r="AD49" i="22144"/>
  <c r="AH49" i="22144" s="1"/>
  <c r="W49" i="22144"/>
  <c r="W51" i="22144"/>
  <c r="V51" i="22144"/>
  <c r="Y55" i="22144"/>
  <c r="Z55" i="22144"/>
  <c r="AD55" i="22144"/>
  <c r="AF55" i="22144" s="1"/>
  <c r="AD57" i="22144"/>
  <c r="AE57" i="22144" s="1"/>
  <c r="W57" i="22144"/>
  <c r="AD75" i="22144"/>
  <c r="AH75" i="22144" s="1"/>
  <c r="V75" i="22144"/>
  <c r="W97" i="22144"/>
  <c r="V97" i="22144"/>
  <c r="W103" i="22144"/>
  <c r="AD103" i="22144"/>
  <c r="AF103" i="22144" s="1"/>
  <c r="V105" i="22144"/>
  <c r="AD105" i="22144"/>
  <c r="AG105" i="22144" s="1"/>
  <c r="AD249" i="22144"/>
  <c r="AG249" i="22144" s="1"/>
  <c r="Z249" i="22144"/>
  <c r="V26" i="22144"/>
  <c r="AD243" i="22144"/>
  <c r="AH243" i="22144" s="1"/>
  <c r="W292" i="22144"/>
  <c r="Y241" i="22144"/>
  <c r="AD100" i="22144"/>
  <c r="AE100" i="22144" s="1"/>
  <c r="W381" i="22144"/>
  <c r="V172" i="22144"/>
  <c r="Y346" i="22144"/>
  <c r="AD346" i="22144"/>
  <c r="AH346" i="22144" s="1"/>
  <c r="AD372" i="22144"/>
  <c r="AE372" i="22144" s="1"/>
  <c r="Z68" i="22144"/>
  <c r="AD266" i="22144"/>
  <c r="AH266" i="22144" s="1"/>
  <c r="Z60" i="22144"/>
  <c r="Z14" i="22144"/>
  <c r="Y388" i="22144"/>
  <c r="AD402" i="22144"/>
  <c r="AH402" i="22144" s="1"/>
  <c r="V182" i="22144"/>
  <c r="AD174" i="22144"/>
  <c r="AH174" i="22144" s="1"/>
  <c r="Z394" i="22144"/>
  <c r="W26" i="22144"/>
  <c r="W274" i="22144"/>
  <c r="AD379" i="22144"/>
  <c r="AH379" i="22144" s="1"/>
  <c r="AD361" i="22144"/>
  <c r="AE361" i="22144" s="1"/>
  <c r="Z73" i="22144"/>
  <c r="Y60" i="22144"/>
  <c r="Y106" i="22144"/>
  <c r="Y394" i="22144"/>
  <c r="V134" i="22144"/>
  <c r="V174" i="22144"/>
  <c r="V278" i="22144"/>
  <c r="V328" i="22144"/>
  <c r="AD272" i="22144"/>
  <c r="AE272" i="22144" s="1"/>
  <c r="AE338" i="22144"/>
  <c r="AG379" i="22144"/>
  <c r="AF416" i="22144"/>
  <c r="AG435" i="22144"/>
  <c r="AF94" i="22144"/>
  <c r="AE167" i="22144"/>
  <c r="AF89" i="22144"/>
  <c r="AF53" i="22144"/>
  <c r="AH278" i="22144"/>
  <c r="AG342" i="22144"/>
  <c r="AH364" i="22144"/>
  <c r="AG129" i="22144"/>
  <c r="AF151" i="22144"/>
  <c r="AH303" i="22144"/>
  <c r="AD63" i="22144"/>
  <c r="AG63" i="22144" s="1"/>
  <c r="AB63" i="22144"/>
  <c r="AC63" i="22144"/>
  <c r="V130" i="22144"/>
  <c r="W130" i="22144"/>
  <c r="V160" i="22144"/>
  <c r="AD160" i="22144"/>
  <c r="Z183" i="22144"/>
  <c r="Y183" i="22144"/>
  <c r="AD194" i="22144"/>
  <c r="AG194" i="22144" s="1"/>
  <c r="W194" i="22144"/>
  <c r="W216" i="22144"/>
  <c r="AD216" i="22144"/>
  <c r="AE216" i="22144" s="1"/>
  <c r="V230" i="22144"/>
  <c r="AD230" i="22144"/>
  <c r="AE230" i="22144" s="1"/>
  <c r="AD244" i="22144"/>
  <c r="AF244" i="22144" s="1"/>
  <c r="W244" i="22144"/>
  <c r="AD253" i="22144"/>
  <c r="AF253" i="22144" s="1"/>
  <c r="W253" i="22144"/>
  <c r="AF275" i="22144"/>
  <c r="AG275" i="22144"/>
  <c r="Z283" i="22144"/>
  <c r="AD283" i="22144"/>
  <c r="AG283" i="22144" s="1"/>
  <c r="V377" i="22144"/>
  <c r="W377" i="22144"/>
  <c r="V447" i="22144"/>
  <c r="AD447" i="22144"/>
  <c r="AE447" i="22144" s="1"/>
  <c r="AD449" i="22144"/>
  <c r="AF449" i="22144" s="1"/>
  <c r="V449" i="22144"/>
  <c r="V451" i="22144"/>
  <c r="AD451" i="22144"/>
  <c r="AF451" i="22144" s="1"/>
  <c r="W453" i="22144"/>
  <c r="V453" i="22144"/>
  <c r="AF183" i="22144"/>
  <c r="AE51" i="22144"/>
  <c r="AG306" i="22144"/>
  <c r="AF152" i="22144"/>
  <c r="V292" i="22144"/>
  <c r="AD391" i="22144"/>
  <c r="AH391" i="22144" s="1"/>
  <c r="V395" i="22144"/>
  <c r="U5" i="22144"/>
  <c r="Y272" i="22144"/>
  <c r="W427" i="22144"/>
  <c r="Y302" i="22144"/>
  <c r="Z227" i="22144"/>
  <c r="AD302" i="22144"/>
  <c r="AG302" i="22144" s="1"/>
  <c r="AD453" i="22144"/>
  <c r="AG453" i="22144" s="1"/>
  <c r="V216" i="22144"/>
  <c r="V175" i="22144"/>
  <c r="V234" i="22144"/>
  <c r="AC421" i="22144"/>
  <c r="AD130" i="22144"/>
  <c r="AH130" i="22144" s="1"/>
  <c r="W230" i="22144"/>
  <c r="AD427" i="22144"/>
  <c r="AE427" i="22144" s="1"/>
  <c r="AD409" i="22144"/>
  <c r="AE409" i="22144" s="1"/>
  <c r="W105" i="22144"/>
  <c r="W375" i="22144"/>
  <c r="W391" i="22144"/>
  <c r="W449" i="22144"/>
  <c r="V242" i="22144"/>
  <c r="V420" i="22144"/>
  <c r="AD421" i="22144"/>
  <c r="AE421" i="22144" s="1"/>
  <c r="AD375" i="22144"/>
  <c r="AE375" i="22144" s="1"/>
  <c r="Y16" i="22144"/>
  <c r="AD16" i="22144"/>
  <c r="AH16" i="22144" s="1"/>
  <c r="W18" i="22144"/>
  <c r="V18" i="22144"/>
  <c r="W33" i="22144"/>
  <c r="AD33" i="22144"/>
  <c r="AE33" i="22144" s="1"/>
  <c r="AD39" i="22144"/>
  <c r="AE39" i="22144" s="1"/>
  <c r="W39" i="22144"/>
  <c r="W46" i="22144"/>
  <c r="AD46" i="22144"/>
  <c r="AF46" i="22144" s="1"/>
  <c r="AD72" i="22144"/>
  <c r="AE72" i="22144" s="1"/>
  <c r="W72" i="22144"/>
  <c r="AD82" i="22144"/>
  <c r="AG82" i="22144" s="1"/>
  <c r="Y82" i="22144"/>
  <c r="W111" i="22144"/>
  <c r="V111" i="22144"/>
  <c r="V233" i="22144"/>
  <c r="W233" i="22144"/>
  <c r="AD233" i="22144"/>
  <c r="AH233" i="22144" s="1"/>
  <c r="AD239" i="22144"/>
  <c r="AH239" i="22144" s="1"/>
  <c r="Z239" i="22144"/>
  <c r="Z276" i="22144"/>
  <c r="AD276" i="22144"/>
  <c r="AE276" i="22144" s="1"/>
  <c r="W280" i="22144"/>
  <c r="V280" i="22144"/>
  <c r="Z313" i="22144"/>
  <c r="AD313" i="22144"/>
  <c r="AG313" i="22144" s="1"/>
  <c r="V321" i="22144"/>
  <c r="AD321" i="22144"/>
  <c r="AF321" i="22144" s="1"/>
  <c r="V351" i="22144"/>
  <c r="AD351" i="22144"/>
  <c r="AE351" i="22144" s="1"/>
  <c r="W351" i="22144"/>
  <c r="V359" i="22144"/>
  <c r="AD359" i="22144"/>
  <c r="AE359" i="22144" s="1"/>
  <c r="AG220" i="22144"/>
  <c r="AG416" i="22144"/>
  <c r="AE308" i="22144"/>
  <c r="AG200" i="22144"/>
  <c r="AF443" i="22144"/>
  <c r="AG405" i="22144"/>
  <c r="AH325" i="22144"/>
  <c r="AH284" i="22144"/>
  <c r="AH183" i="22144"/>
  <c r="AF262" i="22144"/>
  <c r="AG228" i="22144"/>
  <c r="AH70" i="22144"/>
  <c r="AG11" i="22144"/>
  <c r="AE125" i="22144"/>
  <c r="AE107" i="22144"/>
  <c r="AH345" i="22144"/>
  <c r="AF107" i="22144"/>
  <c r="AE129" i="22144"/>
  <c r="AH83" i="22144"/>
  <c r="AF334" i="22144"/>
  <c r="AH131" i="22144"/>
  <c r="AH11" i="22144"/>
  <c r="AF165" i="22144"/>
  <c r="AE187" i="22144"/>
  <c r="AH26" i="22144"/>
  <c r="AG53" i="22144"/>
  <c r="AE436" i="22144"/>
  <c r="AE358" i="22144"/>
  <c r="AH320" i="22144"/>
  <c r="AF184" i="22144"/>
  <c r="AF125" i="22144"/>
  <c r="AF64" i="22144"/>
  <c r="AS5" i="22144"/>
  <c r="AE60" i="22144"/>
  <c r="AE201" i="22144"/>
  <c r="AG225" i="22144"/>
  <c r="AE157" i="22144"/>
  <c r="AE121" i="22144"/>
  <c r="AE172" i="22144"/>
  <c r="AE383" i="22144"/>
  <c r="AG12" i="22144"/>
  <c r="AE182" i="22144"/>
  <c r="AF278" i="22144"/>
  <c r="AE206" i="22144"/>
  <c r="AE116" i="22144"/>
  <c r="AH208" i="22144"/>
  <c r="AG284" i="22144"/>
  <c r="AH367" i="22144"/>
  <c r="AE304" i="22144"/>
  <c r="AE429" i="22144"/>
  <c r="AH407" i="22144"/>
  <c r="AH387" i="22144"/>
  <c r="AE340" i="22144"/>
  <c r="AG333" i="22144"/>
  <c r="AH304" i="22144"/>
  <c r="AF286" i="22144"/>
  <c r="AF238" i="22144"/>
  <c r="AE218" i="22144"/>
  <c r="AH141" i="22144"/>
  <c r="AE24" i="22144"/>
  <c r="AH54" i="22144"/>
  <c r="AG132" i="22144"/>
  <c r="AE80" i="22144"/>
  <c r="AH20" i="22144"/>
  <c r="AE405" i="22144"/>
  <c r="AF290" i="22144"/>
  <c r="AG264" i="22144"/>
  <c r="AF220" i="22144"/>
  <c r="AH88" i="22144"/>
  <c r="AE12" i="22144"/>
  <c r="AH218" i="22144"/>
  <c r="AE397" i="22144"/>
  <c r="AF218" i="22144"/>
  <c r="AE183" i="22144"/>
  <c r="AH267" i="22144"/>
  <c r="AF206" i="22144"/>
  <c r="AH397" i="22144"/>
  <c r="AF412" i="22144"/>
  <c r="AG308" i="22144"/>
  <c r="AE267" i="22144"/>
  <c r="AF116" i="22144"/>
  <c r="AF141" i="22144"/>
  <c r="AG152" i="22144"/>
  <c r="AE336" i="22144"/>
  <c r="AH202" i="22144"/>
  <c r="AF445" i="22144"/>
  <c r="AH212" i="22144"/>
  <c r="AG443" i="22144"/>
  <c r="AH431" i="22144"/>
  <c r="AG425" i="22144"/>
  <c r="AG412" i="22144"/>
  <c r="AF407" i="22144"/>
  <c r="AF397" i="22144"/>
  <c r="AG371" i="22144"/>
  <c r="AF342" i="22144"/>
  <c r="AF340" i="22144"/>
  <c r="AE331" i="22144"/>
  <c r="AE306" i="22144"/>
  <c r="AE284" i="22144"/>
  <c r="AE282" i="22144"/>
  <c r="AG247" i="22144"/>
  <c r="AF224" i="22144"/>
  <c r="AF212" i="22144"/>
  <c r="AG24" i="22144"/>
  <c r="AE367" i="22144"/>
  <c r="AF22" i="22144"/>
  <c r="AG181" i="22144"/>
  <c r="AG271" i="22144"/>
  <c r="AE262" i="22144"/>
  <c r="AE22" i="22144"/>
  <c r="AG20" i="22144"/>
  <c r="AG78" i="22144"/>
  <c r="AF405" i="22144"/>
  <c r="AE147" i="22144"/>
  <c r="AE70" i="22144"/>
  <c r="AG101" i="22144"/>
  <c r="AH394" i="22144"/>
  <c r="AF161" i="22144"/>
  <c r="AF314" i="22144"/>
  <c r="AG186" i="22144"/>
  <c r="AF144" i="22144"/>
  <c r="AF394" i="22144"/>
  <c r="AG144" i="22144"/>
  <c r="AH67" i="22144"/>
  <c r="AH30" i="22144"/>
  <c r="AG26" i="22144"/>
  <c r="AF59" i="22144"/>
  <c r="AG434" i="22144"/>
  <c r="AE438" i="22144"/>
  <c r="AH434" i="22144"/>
  <c r="AE180" i="22144"/>
  <c r="AF131" i="22144"/>
  <c r="AH125" i="22144"/>
  <c r="AE109" i="22144"/>
  <c r="AG83" i="22144"/>
  <c r="AG61" i="22144"/>
  <c r="AE9" i="22144"/>
  <c r="AE11" i="22144"/>
  <c r="AF60" i="22144"/>
  <c r="AH172" i="22144"/>
  <c r="AF186" i="22144"/>
  <c r="AF442" i="22144"/>
  <c r="AF157" i="22144"/>
  <c r="AE297" i="22144"/>
  <c r="AE388" i="22144"/>
  <c r="AG161" i="22144"/>
  <c r="AF187" i="22144"/>
  <c r="AE112" i="22144"/>
  <c r="AE318" i="22144"/>
  <c r="AH211" i="22144"/>
  <c r="AE211" i="22144"/>
  <c r="AG211" i="22144"/>
  <c r="AG328" i="22144"/>
  <c r="AF366" i="22144"/>
  <c r="AH103" i="22144"/>
  <c r="AE55" i="22144"/>
  <c r="AG49" i="22144"/>
  <c r="AE27" i="22144"/>
  <c r="AG27" i="22144"/>
  <c r="AE32" i="22144"/>
  <c r="AG32" i="22144"/>
  <c r="AG34" i="22144"/>
  <c r="AH34" i="22144"/>
  <c r="AG38" i="22144"/>
  <c r="AF38" i="22144"/>
  <c r="AE40" i="22144"/>
  <c r="AF40" i="22144"/>
  <c r="AG42" i="22144"/>
  <c r="AF42" i="22144"/>
  <c r="AH96" i="22144"/>
  <c r="AF96" i="22144"/>
  <c r="AG99" i="22144"/>
  <c r="AH99" i="22144"/>
  <c r="AF99" i="22144"/>
  <c r="AH123" i="22144"/>
  <c r="AE123" i="22144"/>
  <c r="AG127" i="22144"/>
  <c r="AH127" i="22144"/>
  <c r="AH142" i="22144"/>
  <c r="AG142" i="22144"/>
  <c r="AF142" i="22144"/>
  <c r="AF153" i="22144"/>
  <c r="AH153" i="22144"/>
  <c r="AE153" i="22144"/>
  <c r="AE155" i="22144"/>
  <c r="AF155" i="22144"/>
  <c r="AG155" i="22144"/>
  <c r="AG159" i="22144"/>
  <c r="AH159" i="22144"/>
  <c r="AE159" i="22144"/>
  <c r="AF268" i="22144"/>
  <c r="AH268" i="22144"/>
  <c r="AG289" i="22144"/>
  <c r="AF289" i="22144"/>
  <c r="AE293" i="22144"/>
  <c r="AF293" i="22144"/>
  <c r="AF307" i="22144"/>
  <c r="AH307" i="22144"/>
  <c r="AG309" i="22144"/>
  <c r="AF309" i="22144"/>
  <c r="AH360" i="22144"/>
  <c r="AG360" i="22144"/>
  <c r="AG363" i="22144"/>
  <c r="AH363" i="22144"/>
  <c r="AH384" i="22144"/>
  <c r="AF384" i="22144"/>
  <c r="AF406" i="22144"/>
  <c r="AG406" i="22144"/>
  <c r="AE406" i="22144"/>
  <c r="AH408" i="22144"/>
  <c r="AG408" i="22144"/>
  <c r="AF408" i="22144"/>
  <c r="AG410" i="22144"/>
  <c r="AE410" i="22144"/>
  <c r="AE413" i="22144"/>
  <c r="AF413" i="22144"/>
  <c r="AE428" i="22144"/>
  <c r="AF428" i="22144"/>
  <c r="AH147" i="22144"/>
  <c r="AG70" i="22144"/>
  <c r="AH59" i="22144"/>
  <c r="AE101" i="22144"/>
  <c r="AG91" i="22144"/>
  <c r="AF85" i="22144"/>
  <c r="AF27" i="22144"/>
  <c r="AH161" i="22144"/>
  <c r="AG430" i="22144"/>
  <c r="AE311" i="22144"/>
  <c r="AH378" i="22144"/>
  <c r="AH13" i="22144"/>
  <c r="AE360" i="22144"/>
  <c r="AG368" i="22144"/>
  <c r="AF295" i="22144"/>
  <c r="AE127" i="22144"/>
  <c r="AE131" i="22144"/>
  <c r="AE419" i="22144"/>
  <c r="AE378" i="22144"/>
  <c r="AE279" i="22144"/>
  <c r="AE144" i="22144"/>
  <c r="AG107" i="22144"/>
  <c r="AF109" i="22144"/>
  <c r="AH109" i="22144"/>
  <c r="AF170" i="22144"/>
  <c r="AF270" i="22144"/>
  <c r="AE85" i="22144"/>
  <c r="AE268" i="22144"/>
  <c r="AG440" i="22144"/>
  <c r="AF438" i="22144"/>
  <c r="AE434" i="22144"/>
  <c r="AE432" i="22144"/>
  <c r="AF419" i="22144"/>
  <c r="AH376" i="22144"/>
  <c r="AH314" i="22144"/>
  <c r="AE295" i="22144"/>
  <c r="AG293" i="22144"/>
  <c r="AH270" i="22144"/>
  <c r="AG184" i="22144"/>
  <c r="AE178" i="22144"/>
  <c r="AH129" i="22144"/>
  <c r="AG117" i="22144"/>
  <c r="AF83" i="22144"/>
  <c r="AG64" i="22144"/>
  <c r="AE53" i="22144"/>
  <c r="AG7" i="22144"/>
  <c r="Y5" i="22144"/>
  <c r="AE366" i="22144"/>
  <c r="AE303" i="22144"/>
  <c r="AG197" i="22144"/>
  <c r="AH32" i="22144"/>
  <c r="AH36" i="22144"/>
  <c r="AH410" i="22144"/>
  <c r="AH406" i="22144"/>
  <c r="AH368" i="22144"/>
  <c r="AF303" i="22144"/>
  <c r="AE246" i="22144"/>
  <c r="AF159" i="22144"/>
  <c r="AH157" i="22144"/>
  <c r="AG153" i="22144"/>
  <c r="AF147" i="22144"/>
  <c r="AF123" i="22144"/>
  <c r="AH101" i="22144"/>
  <c r="AE96" i="22144"/>
  <c r="AE42" i="22144"/>
  <c r="AG36" i="22144"/>
  <c r="AG307" i="22144"/>
  <c r="AF410" i="22144"/>
  <c r="AH428" i="22144"/>
  <c r="AG30" i="22144"/>
  <c r="AF30" i="22144"/>
  <c r="AH292" i="22144"/>
  <c r="AF292" i="22144"/>
  <c r="AE292" i="22144"/>
  <c r="AG355" i="22144"/>
  <c r="AF172" i="22144"/>
  <c r="AE94" i="22144"/>
  <c r="AG165" i="22144"/>
  <c r="AG76" i="22144"/>
  <c r="AH116" i="22144"/>
  <c r="AE54" i="22144"/>
  <c r="AG367" i="22144"/>
  <c r="AH60" i="22144"/>
  <c r="AH76" i="22144"/>
  <c r="AG187" i="22144"/>
  <c r="AH165" i="22144"/>
  <c r="AF61" i="22144"/>
  <c r="AF12" i="22144"/>
  <c r="AH71" i="22144"/>
  <c r="AG71" i="22144"/>
  <c r="AH133" i="22144"/>
  <c r="AE133" i="22144"/>
  <c r="AE139" i="22144"/>
  <c r="AH139" i="22144"/>
  <c r="AF143" i="22144"/>
  <c r="AE143" i="22144"/>
  <c r="AE148" i="22144"/>
  <c r="AG148" i="22144"/>
  <c r="AH148" i="22144"/>
  <c r="AG150" i="22144"/>
  <c r="AE150" i="22144"/>
  <c r="AG154" i="22144"/>
  <c r="AH154" i="22144"/>
  <c r="AF154" i="22144"/>
  <c r="AG158" i="22144"/>
  <c r="AF158" i="22144"/>
  <c r="AE158" i="22144"/>
  <c r="AF162" i="22144"/>
  <c r="AE162" i="22144"/>
  <c r="AF166" i="22144"/>
  <c r="AG166" i="22144"/>
  <c r="AF179" i="22144"/>
  <c r="AG179" i="22144"/>
  <c r="AF200" i="22144"/>
  <c r="AH200" i="22144"/>
  <c r="AH204" i="22144"/>
  <c r="AE204" i="22144"/>
  <c r="AG222" i="22144"/>
  <c r="AF222" i="22144"/>
  <c r="AE226" i="22144"/>
  <c r="AG226" i="22144"/>
  <c r="AE232" i="22144"/>
  <c r="AG232" i="22144"/>
  <c r="AE236" i="22144"/>
  <c r="AG236" i="22144"/>
  <c r="AG255" i="22144"/>
  <c r="AF255" i="22144"/>
  <c r="AG258" i="22144"/>
  <c r="AF258" i="22144"/>
  <c r="AH269" i="22144"/>
  <c r="AE269" i="22144"/>
  <c r="AH274" i="22144"/>
  <c r="AG274" i="22144"/>
  <c r="AE288" i="22144"/>
  <c r="AH288" i="22144"/>
  <c r="AG312" i="22144"/>
  <c r="AE312" i="22144"/>
  <c r="AH317" i="22144"/>
  <c r="AF317" i="22144"/>
  <c r="AE380" i="22144"/>
  <c r="AG380" i="22144"/>
  <c r="AH380" i="22144"/>
  <c r="AF390" i="22144"/>
  <c r="AG390" i="22144"/>
  <c r="AF418" i="22144"/>
  <c r="AG418" i="22144"/>
  <c r="AH439" i="22144"/>
  <c r="AF439" i="22144"/>
  <c r="AH425" i="22144"/>
  <c r="AG383" i="22144"/>
  <c r="AH290" i="22144"/>
  <c r="AG278" i="22144"/>
  <c r="AE264" i="22144"/>
  <c r="AE220" i="22144"/>
  <c r="AE90" i="22144"/>
  <c r="AH78" i="22144"/>
  <c r="AE208" i="22144"/>
  <c r="AE222" i="22144"/>
  <c r="AG423" i="22144"/>
  <c r="AF214" i="22144"/>
  <c r="AE247" i="22144"/>
  <c r="AH445" i="22144"/>
  <c r="AH399" i="22144"/>
  <c r="AH308" i="22144"/>
  <c r="AG267" i="22144"/>
  <c r="AG14" i="22144"/>
  <c r="AG162" i="22144"/>
  <c r="AF202" i="22144"/>
  <c r="AH192" i="22144"/>
  <c r="AE17" i="22144"/>
  <c r="AE214" i="22144"/>
  <c r="AH333" i="22144"/>
  <c r="AH340" i="22144"/>
  <c r="AF431" i="22144"/>
  <c r="AG143" i="22144"/>
  <c r="AH232" i="22144"/>
  <c r="AF122" i="22144"/>
  <c r="AF347" i="22144"/>
  <c r="AH429" i="22144"/>
  <c r="AG429" i="22144"/>
  <c r="AE412" i="22144"/>
  <c r="AG407" i="22144"/>
  <c r="AH403" i="22144"/>
  <c r="AE342" i="22144"/>
  <c r="AH338" i="22144"/>
  <c r="AG338" i="22144"/>
  <c r="AF333" i="22144"/>
  <c r="AF325" i="22144"/>
  <c r="AF306" i="22144"/>
  <c r="AG304" i="22144"/>
  <c r="AG298" i="22144"/>
  <c r="AH282" i="22144"/>
  <c r="AG282" i="22144"/>
  <c r="AF247" i="22144"/>
  <c r="AH238" i="22144"/>
  <c r="AE238" i="22144"/>
  <c r="AF232" i="22144"/>
  <c r="AF226" i="22144"/>
  <c r="AH222" i="22144"/>
  <c r="AH214" i="22144"/>
  <c r="AG204" i="22144"/>
  <c r="AE202" i="22144"/>
  <c r="AF192" i="22144"/>
  <c r="AH164" i="22144"/>
  <c r="AH158" i="22144"/>
  <c r="AE152" i="22144"/>
  <c r="AF150" i="22144"/>
  <c r="AH143" i="22144"/>
  <c r="AG141" i="22144"/>
  <c r="AG139" i="22144"/>
  <c r="AF21" i="22144"/>
  <c r="AE124" i="22144"/>
  <c r="AG319" i="22144"/>
  <c r="AG262" i="22144"/>
  <c r="AF71" i="22144"/>
  <c r="AE433" i="22144"/>
  <c r="AH418" i="22144"/>
  <c r="AH312" i="22144"/>
  <c r="AG393" i="22144"/>
  <c r="AE390" i="22144"/>
  <c r="AF380" i="22144"/>
  <c r="AG317" i="22144"/>
  <c r="AE290" i="22144"/>
  <c r="AF269" i="22144"/>
  <c r="AH264" i="22144"/>
  <c r="AH252" i="22144"/>
  <c r="AG210" i="22144"/>
  <c r="AE179" i="22144"/>
  <c r="AH166" i="22144"/>
  <c r="AG133" i="22144"/>
  <c r="AE71" i="22144"/>
  <c r="AE212" i="22144"/>
  <c r="AH51" i="22144"/>
  <c r="AG51" i="22144"/>
  <c r="AG120" i="22144"/>
  <c r="AH120" i="22144"/>
  <c r="AH126" i="22144"/>
  <c r="AG126" i="22144"/>
  <c r="AF126" i="22144"/>
  <c r="AG135" i="22144"/>
  <c r="AE135" i="22144"/>
  <c r="AE169" i="22144"/>
  <c r="AG169" i="22144"/>
  <c r="AG177" i="22144"/>
  <c r="AF177" i="22144"/>
  <c r="AH177" i="22144"/>
  <c r="AH181" i="22144"/>
  <c r="AE181" i="22144"/>
  <c r="AG224" i="22144"/>
  <c r="AE224" i="22144"/>
  <c r="AG260" i="22144"/>
  <c r="AE260" i="22144"/>
  <c r="AF260" i="22144"/>
  <c r="AH271" i="22144"/>
  <c r="AF271" i="22144"/>
  <c r="AE275" i="22144"/>
  <c r="AH275" i="22144"/>
  <c r="AF315" i="22144"/>
  <c r="AG315" i="22144"/>
  <c r="AH315" i="22144"/>
  <c r="AF319" i="22144"/>
  <c r="AE319" i="22144"/>
  <c r="AG414" i="22144"/>
  <c r="AF414" i="22144"/>
  <c r="AH433" i="22144"/>
  <c r="AG433" i="22144"/>
  <c r="AE437" i="22144"/>
  <c r="AH437" i="22144"/>
  <c r="AF437" i="22144"/>
  <c r="AH441" i="22144"/>
  <c r="AG441" i="22144"/>
  <c r="AE84" i="22144"/>
  <c r="AH84" i="22144"/>
  <c r="AE128" i="22144"/>
  <c r="AH128" i="22144"/>
  <c r="AG140" i="22144"/>
  <c r="AE140" i="22144"/>
  <c r="AG193" i="22144"/>
  <c r="AF193" i="22144"/>
  <c r="AF195" i="22144"/>
  <c r="AG195" i="22144"/>
  <c r="AE199" i="22144"/>
  <c r="AF199" i="22144"/>
  <c r="AG201" i="22144"/>
  <c r="AH201" i="22144"/>
  <c r="AG207" i="22144"/>
  <c r="AE207" i="22144"/>
  <c r="AH207" i="22144"/>
  <c r="AH215" i="22144"/>
  <c r="AF215" i="22144"/>
  <c r="AF217" i="22144"/>
  <c r="AH217" i="22144"/>
  <c r="AG217" i="22144"/>
  <c r="AE221" i="22144"/>
  <c r="AF221" i="22144"/>
  <c r="AF231" i="22144"/>
  <c r="AH231" i="22144"/>
  <c r="AE237" i="22144"/>
  <c r="AG237" i="22144"/>
  <c r="AH240" i="22144"/>
  <c r="AE240" i="22144"/>
  <c r="AE330" i="22144"/>
  <c r="AG330" i="22144"/>
  <c r="AH334" i="22144"/>
  <c r="AG334" i="22144"/>
  <c r="AG396" i="22144"/>
  <c r="AH396" i="22144"/>
  <c r="AH400" i="22144"/>
  <c r="AF400" i="22144"/>
  <c r="AE404" i="22144"/>
  <c r="AF404" i="22144"/>
  <c r="AH415" i="22144"/>
  <c r="AE415" i="22144"/>
  <c r="AG424" i="22144"/>
  <c r="AE424" i="22144"/>
  <c r="AH452" i="22144"/>
  <c r="AF452" i="22144"/>
  <c r="AF280" i="22144"/>
  <c r="AH280" i="22144"/>
  <c r="AE105" i="22144"/>
  <c r="AE203" i="22144"/>
  <c r="AF203" i="22144"/>
  <c r="AG213" i="22144"/>
  <c r="AF213" i="22144"/>
  <c r="AG219" i="22144"/>
  <c r="AH219" i="22144"/>
  <c r="AE281" i="22144"/>
  <c r="AH281" i="22144"/>
  <c r="AG294" i="22144"/>
  <c r="AH294" i="22144"/>
  <c r="AH316" i="22144"/>
  <c r="AE316" i="22144"/>
  <c r="AE322" i="22144"/>
  <c r="AH322" i="22144"/>
  <c r="AG337" i="22144"/>
  <c r="AF337" i="22144"/>
  <c r="AG341" i="22144"/>
  <c r="AF341" i="22144"/>
  <c r="AE341" i="22144"/>
  <c r="AH348" i="22144"/>
  <c r="AF348" i="22144"/>
  <c r="AG354" i="22144"/>
  <c r="AF354" i="22144"/>
  <c r="AE354" i="22144"/>
  <c r="AF365" i="22144"/>
  <c r="AE365" i="22144"/>
  <c r="AG370" i="22144"/>
  <c r="AF370" i="22144"/>
  <c r="AH386" i="22144"/>
  <c r="AE386" i="22144"/>
  <c r="AF386" i="22144"/>
  <c r="AH398" i="22144"/>
  <c r="AF398" i="22144"/>
  <c r="AH413" i="22144"/>
  <c r="AG413" i="22144"/>
  <c r="AF422" i="22144"/>
  <c r="AE422" i="22144"/>
  <c r="AG426" i="22144"/>
  <c r="AF426" i="22144"/>
  <c r="AH426" i="22144"/>
  <c r="AE228" i="22144"/>
  <c r="AE88" i="22144"/>
  <c r="AG378" i="22144"/>
  <c r="AG94" i="22144"/>
  <c r="AE345" i="22144"/>
  <c r="AF360" i="22144"/>
  <c r="AF440" i="22144"/>
  <c r="AF430" i="22144"/>
  <c r="AE280" i="22144"/>
  <c r="AG280" i="22144"/>
  <c r="AH419" i="22144"/>
  <c r="AG394" i="22144"/>
  <c r="AF345" i="22144"/>
  <c r="AF14" i="22144"/>
  <c r="AE289" i="22144"/>
  <c r="AH432" i="22144"/>
  <c r="AF180" i="22144"/>
  <c r="AG438" i="22144"/>
  <c r="AH184" i="22144"/>
  <c r="AE376" i="22144"/>
  <c r="AF450" i="22144"/>
  <c r="AE440" i="22144"/>
  <c r="AF436" i="22144"/>
  <c r="AG436" i="22144"/>
  <c r="AF432" i="22144"/>
  <c r="AG376" i="22144"/>
  <c r="AG358" i="22144"/>
  <c r="AG316" i="22144"/>
  <c r="AG268" i="22144"/>
  <c r="AF256" i="22144"/>
  <c r="AH180" i="22144"/>
  <c r="AH170" i="22144"/>
  <c r="AG146" i="22144"/>
  <c r="AH318" i="22144"/>
  <c r="AH442" i="22144"/>
  <c r="AG215" i="22144"/>
  <c r="AE384" i="22144"/>
  <c r="AG240" i="22144"/>
  <c r="AF363" i="22144"/>
  <c r="AE363" i="22144"/>
  <c r="AH195" i="22144"/>
  <c r="AH430" i="22144"/>
  <c r="AH424" i="22144"/>
  <c r="AG415" i="22144"/>
  <c r="AG404" i="22144"/>
  <c r="AE400" i="22144"/>
  <c r="AE396" i="22144"/>
  <c r="AG384" i="22144"/>
  <c r="AH370" i="22144"/>
  <c r="AE368" i="22144"/>
  <c r="AH354" i="22144"/>
  <c r="AH341" i="22144"/>
  <c r="AH337" i="22144"/>
  <c r="AE294" i="22144"/>
  <c r="AF228" i="22144"/>
  <c r="AF219" i="22144"/>
  <c r="AE215" i="22144"/>
  <c r="AH213" i="22144"/>
  <c r="AF207" i="22144"/>
  <c r="AG203" i="22144"/>
  <c r="AH199" i="22144"/>
  <c r="AH193" i="22144"/>
  <c r="AF128" i="22144"/>
  <c r="AG365" i="22144"/>
  <c r="AF23" i="22144"/>
  <c r="AH365" i="22144"/>
  <c r="AH14" i="22144"/>
  <c r="AG442" i="22144"/>
  <c r="AQ5" i="22144"/>
  <c r="AF86" i="22144"/>
  <c r="AG86" i="22144"/>
  <c r="AE18" i="22144"/>
  <c r="AG18" i="22144"/>
  <c r="AH18" i="22144"/>
  <c r="AF18" i="22144"/>
  <c r="AE97" i="22144"/>
  <c r="AF97" i="22144"/>
  <c r="AH97" i="22144"/>
  <c r="AH173" i="22144"/>
  <c r="AF173" i="22144"/>
  <c r="AF205" i="22144"/>
  <c r="AG205" i="22144"/>
  <c r="AE8" i="22144"/>
  <c r="AG8" i="22144"/>
  <c r="AH17" i="22144"/>
  <c r="AF17" i="22144"/>
  <c r="AE25" i="22144"/>
  <c r="AG25" i="22144"/>
  <c r="AH25" i="22144"/>
  <c r="AG28" i="22144"/>
  <c r="AH28" i="22144"/>
  <c r="AE28" i="22144"/>
  <c r="AH31" i="22144"/>
  <c r="AG31" i="22144"/>
  <c r="AF35" i="22144"/>
  <c r="AG35" i="22144"/>
  <c r="AG41" i="22144"/>
  <c r="AF41" i="22144"/>
  <c r="AG48" i="22144"/>
  <c r="AF48" i="22144"/>
  <c r="AH56" i="22144"/>
  <c r="AG56" i="22144"/>
  <c r="AE56" i="22144"/>
  <c r="AH58" i="22144"/>
  <c r="AE58" i="22144"/>
  <c r="AF68" i="22144"/>
  <c r="AE68" i="22144"/>
  <c r="AF77" i="22144"/>
  <c r="AE77" i="22144"/>
  <c r="AH81" i="22144"/>
  <c r="AE81" i="22144"/>
  <c r="AF81" i="22144"/>
  <c r="AG98" i="22144"/>
  <c r="AH98" i="22144"/>
  <c r="AE102" i="22144"/>
  <c r="AH102" i="22144"/>
  <c r="AE115" i="22144"/>
  <c r="AG115" i="22144"/>
  <c r="AE134" i="22144"/>
  <c r="AH134" i="22144"/>
  <c r="AE138" i="22144"/>
  <c r="AF138" i="22144"/>
  <c r="AH138" i="22144"/>
  <c r="AH156" i="22144"/>
  <c r="AE156" i="22144"/>
  <c r="AG156" i="22144"/>
  <c r="AH235" i="22144"/>
  <c r="AG235" i="22144"/>
  <c r="AE235" i="22144"/>
  <c r="AH246" i="22144"/>
  <c r="AF246" i="22144"/>
  <c r="AH265" i="22144"/>
  <c r="AF265" i="22144"/>
  <c r="AE265" i="22144"/>
  <c r="AF277" i="22144"/>
  <c r="AE277" i="22144"/>
  <c r="AH291" i="22144"/>
  <c r="AE291" i="22144"/>
  <c r="AF296" i="22144"/>
  <c r="AE296" i="22144"/>
  <c r="AF300" i="22144"/>
  <c r="AG300" i="22144"/>
  <c r="AE305" i="22144"/>
  <c r="AF305" i="22144"/>
  <c r="AH311" i="22144"/>
  <c r="AG311" i="22144"/>
  <c r="AF324" i="22144"/>
  <c r="AG324" i="22144"/>
  <c r="AE332" i="22144"/>
  <c r="AG332" i="22144"/>
  <c r="AH332" i="22144"/>
  <c r="AG336" i="22144"/>
  <c r="AH336" i="22144"/>
  <c r="AG343" i="22144"/>
  <c r="AF343" i="22144"/>
  <c r="AF349" i="22144"/>
  <c r="AE349" i="22144"/>
  <c r="AF353" i="22144"/>
  <c r="AH353" i="22144"/>
  <c r="AE353" i="22144"/>
  <c r="AF362" i="22144"/>
  <c r="AH362" i="22144"/>
  <c r="AG369" i="22144"/>
  <c r="AF369" i="22144"/>
  <c r="AH374" i="22144"/>
  <c r="AE374" i="22144"/>
  <c r="AF374" i="22144"/>
  <c r="AF385" i="22144"/>
  <c r="AE385" i="22144"/>
  <c r="AH420" i="22144"/>
  <c r="AF420" i="22144"/>
  <c r="AE423" i="22144"/>
  <c r="AH423" i="22144"/>
  <c r="AF90" i="22144"/>
  <c r="AH90" i="22144"/>
  <c r="AF88" i="22144"/>
  <c r="AE35" i="22144"/>
  <c r="AF84" i="22144"/>
  <c r="AF115" i="22144"/>
  <c r="AG285" i="22144"/>
  <c r="AE176" i="22144"/>
  <c r="AG256" i="22144"/>
  <c r="AH259" i="22144"/>
  <c r="AH385" i="22144"/>
  <c r="AF102" i="22144"/>
  <c r="AH289" i="22144"/>
  <c r="AF254" i="22144"/>
  <c r="AE369" i="22144"/>
  <c r="AE362" i="22144"/>
  <c r="AH349" i="22144"/>
  <c r="AG296" i="22144"/>
  <c r="AF291" i="22144"/>
  <c r="AH277" i="22144"/>
  <c r="AF273" i="22144"/>
  <c r="AG170" i="22144"/>
  <c r="AF156" i="22144"/>
  <c r="AG81" i="22144"/>
  <c r="AH77" i="22144"/>
  <c r="AE41" i="22144"/>
  <c r="AF31" i="22144"/>
  <c r="AF105" i="22144"/>
  <c r="AG134" i="22144"/>
  <c r="AE173" i="22144"/>
  <c r="AH8" i="22144"/>
  <c r="AG84" i="22144"/>
  <c r="AG68" i="22144"/>
  <c r="AE324" i="22144"/>
  <c r="AF66" i="22144"/>
  <c r="AF58" i="22144"/>
  <c r="AG58" i="22144"/>
  <c r="AE420" i="22144"/>
  <c r="AE343" i="22144"/>
  <c r="AF332" i="22144"/>
  <c r="AG305" i="22144"/>
  <c r="AH300" i="22144"/>
  <c r="AF294" i="22144"/>
  <c r="AF235" i="22144"/>
  <c r="AG138" i="22144"/>
  <c r="AG128" i="22144"/>
  <c r="AF25" i="22144"/>
  <c r="AG362" i="22144"/>
  <c r="AE335" i="22144"/>
  <c r="AG176" i="22144"/>
  <c r="AF176" i="22144"/>
  <c r="AH124" i="22144"/>
  <c r="AF124" i="22144"/>
  <c r="AE10" i="22144"/>
  <c r="AG10" i="22144"/>
  <c r="AF10" i="22144"/>
  <c r="AG13" i="22144"/>
  <c r="AF13" i="22144"/>
  <c r="AE21" i="22144"/>
  <c r="AH21" i="22144"/>
  <c r="AG37" i="22144"/>
  <c r="AE37" i="22144"/>
  <c r="AF37" i="22144"/>
  <c r="AH44" i="22144"/>
  <c r="AF44" i="22144"/>
  <c r="AG44" i="22144"/>
  <c r="AH50" i="22144"/>
  <c r="AG50" i="22144"/>
  <c r="AG62" i="22144"/>
  <c r="AE62" i="22144"/>
  <c r="AF62" i="22144"/>
  <c r="AG66" i="22144"/>
  <c r="AE66" i="22144"/>
  <c r="AG69" i="22144"/>
  <c r="AF69" i="22144"/>
  <c r="AE69" i="22144"/>
  <c r="AH79" i="22144"/>
  <c r="AF79" i="22144"/>
  <c r="AG79" i="22144"/>
  <c r="AH104" i="22144"/>
  <c r="AE104" i="22144"/>
  <c r="AF104" i="22144"/>
  <c r="AH118" i="22144"/>
  <c r="AG118" i="22144"/>
  <c r="AF118" i="22144"/>
  <c r="AG122" i="22144"/>
  <c r="AH122" i="22144"/>
  <c r="AG136" i="22144"/>
  <c r="AF136" i="22144"/>
  <c r="AH136" i="22144"/>
  <c r="AH140" i="22144"/>
  <c r="AF140" i="22144"/>
  <c r="AF146" i="22144"/>
  <c r="AH146" i="22144"/>
  <c r="AG151" i="22144"/>
  <c r="AH151" i="22144"/>
  <c r="AG167" i="22144"/>
  <c r="AF167" i="22144"/>
  <c r="AG196" i="22144"/>
  <c r="AF196" i="22144"/>
  <c r="AE196" i="22144"/>
  <c r="AF237" i="22144"/>
  <c r="AH237" i="22144"/>
  <c r="AG248" i="22144"/>
  <c r="AH248" i="22144"/>
  <c r="AE248" i="22144"/>
  <c r="AG254" i="22144"/>
  <c r="AH254" i="22144"/>
  <c r="AG259" i="22144"/>
  <c r="AF259" i="22144"/>
  <c r="AG273" i="22144"/>
  <c r="AE273" i="22144"/>
  <c r="AF285" i="22144"/>
  <c r="AH285" i="22144"/>
  <c r="AE298" i="22144"/>
  <c r="AF298" i="22144"/>
  <c r="AH309" i="22144"/>
  <c r="AE309" i="22144"/>
  <c r="AH326" i="22144"/>
  <c r="AE326" i="22144"/>
  <c r="AF326" i="22144"/>
  <c r="AF330" i="22144"/>
  <c r="AH330" i="22144"/>
  <c r="AF339" i="22144"/>
  <c r="AH339" i="22144"/>
  <c r="AE339" i="22144"/>
  <c r="AH347" i="22144"/>
  <c r="AE347" i="22144"/>
  <c r="AF357" i="22144"/>
  <c r="AE357" i="22144"/>
  <c r="AH357" i="22144"/>
  <c r="AF364" i="22144"/>
  <c r="AG364" i="22144"/>
  <c r="AF371" i="22144"/>
  <c r="AE371" i="22144"/>
  <c r="AF387" i="22144"/>
  <c r="AE387" i="22144"/>
  <c r="AF45" i="22144"/>
  <c r="AE45" i="22144"/>
  <c r="AF197" i="22144"/>
  <c r="AE197" i="22144"/>
  <c r="AH389" i="22144"/>
  <c r="AE398" i="22144"/>
  <c r="AG398" i="22144"/>
  <c r="AG444" i="22144"/>
  <c r="AE444" i="22144"/>
  <c r="AF444" i="22144"/>
  <c r="V76" i="22144"/>
  <c r="W76" i="22144"/>
  <c r="AD95" i="22144"/>
  <c r="W95" i="22144"/>
  <c r="Y137" i="22144"/>
  <c r="Z137" i="22144"/>
  <c r="AD137" i="22144"/>
  <c r="AD171" i="22144"/>
  <c r="W171" i="22144"/>
  <c r="V188" i="22144"/>
  <c r="AD188" i="22144"/>
  <c r="AD198" i="22144"/>
  <c r="V198" i="22144"/>
  <c r="W227" i="22144"/>
  <c r="V227" i="22144"/>
  <c r="AD227" i="22144"/>
  <c r="AD251" i="22144"/>
  <c r="W251" i="22144"/>
  <c r="Z310" i="22144"/>
  <c r="AD310" i="22144"/>
  <c r="Y327" i="22144"/>
  <c r="AD327" i="22144"/>
  <c r="W382" i="22144"/>
  <c r="AD382" i="22144"/>
  <c r="AD93" i="22144"/>
  <c r="W93" i="22144"/>
  <c r="AD108" i="22144"/>
  <c r="V108" i="22144"/>
  <c r="V119" i="22144"/>
  <c r="AD119" i="22144"/>
  <c r="W119" i="22144"/>
  <c r="V299" i="22144"/>
  <c r="AD299" i="22144"/>
  <c r="Z352" i="22144"/>
  <c r="Y352" i="22144"/>
  <c r="AD352" i="22144"/>
  <c r="Y373" i="22144"/>
  <c r="Z373" i="22144"/>
  <c r="AD373" i="22144"/>
  <c r="V401" i="22144"/>
  <c r="AD401" i="22144"/>
  <c r="Z421" i="22144"/>
  <c r="Y421" i="22144"/>
  <c r="AE425" i="22144"/>
  <c r="AF383" i="22144"/>
  <c r="AE98" i="22144"/>
  <c r="AE78" i="22144"/>
  <c r="AE59" i="22144"/>
  <c r="AE91" i="22144"/>
  <c r="AH91" i="22144"/>
  <c r="AH89" i="22144"/>
  <c r="AG85" i="22144"/>
  <c r="AF34" i="22144"/>
  <c r="AG288" i="22144"/>
  <c r="AG399" i="22144"/>
  <c r="AF208" i="22144"/>
  <c r="AE314" i="22144"/>
  <c r="AE320" i="22144"/>
  <c r="AG348" i="22144"/>
  <c r="AH416" i="22144"/>
  <c r="AF288" i="22144"/>
  <c r="AH414" i="22144"/>
  <c r="AE445" i="22144"/>
  <c r="AE450" i="22144"/>
  <c r="AE443" i="22144"/>
  <c r="AF245" i="22144"/>
  <c r="AG45" i="22144"/>
  <c r="AF399" i="22144"/>
  <c r="AH279" i="22144"/>
  <c r="AF279" i="22144"/>
  <c r="AG206" i="22144"/>
  <c r="AG102" i="22144"/>
  <c r="AE67" i="22144"/>
  <c r="AF67" i="22144"/>
  <c r="AB5" i="22144"/>
  <c r="AF26" i="22144"/>
  <c r="AG431" i="22144"/>
  <c r="AG89" i="22144"/>
  <c r="AE61" i="22144"/>
  <c r="AE50" i="22144"/>
  <c r="AH9" i="22144"/>
  <c r="AG320" i="22144"/>
  <c r="AH295" i="22144"/>
  <c r="AE117" i="22144"/>
  <c r="AH24" i="22144"/>
  <c r="AH236" i="22144"/>
  <c r="V5" i="22144"/>
  <c r="AH450" i="22144"/>
  <c r="AE403" i="22144"/>
  <c r="AG403" i="22144"/>
  <c r="AH358" i="22144"/>
  <c r="AF331" i="22144"/>
  <c r="AG331" i="22144"/>
  <c r="AG325" i="22144"/>
  <c r="AF316" i="22144"/>
  <c r="AG270" i="22144"/>
  <c r="AG192" i="22144"/>
  <c r="AH178" i="22144"/>
  <c r="AG178" i="22144"/>
  <c r="AG164" i="22144"/>
  <c r="AF164" i="22144"/>
  <c r="AH150" i="22144"/>
  <c r="AH117" i="22144"/>
  <c r="AE64" i="22144"/>
  <c r="AF50" i="22144"/>
  <c r="AE48" i="22144"/>
  <c r="AF9" i="22144"/>
  <c r="AF7" i="22144"/>
  <c r="AH149" i="22144"/>
  <c r="AE7" i="22144"/>
  <c r="AC5" i="22144"/>
  <c r="AF76" i="22144"/>
  <c r="AH121" i="22144"/>
  <c r="AF185" i="22144"/>
  <c r="AF80" i="22144"/>
  <c r="AG123" i="22144"/>
  <c r="AH135" i="22144"/>
  <c r="AH422" i="22144"/>
  <c r="AG452" i="22144"/>
  <c r="AE257" i="22144"/>
  <c r="AG439" i="22144"/>
  <c r="AG221" i="22144"/>
  <c r="AE441" i="22144"/>
  <c r="AF435" i="22144"/>
  <c r="AH388" i="22144"/>
  <c r="AF240" i="22144"/>
  <c r="AE38" i="22144"/>
  <c r="AH185" i="22144"/>
  <c r="AE439" i="22144"/>
  <c r="AH435" i="22144"/>
  <c r="AG422" i="22144"/>
  <c r="AF393" i="22144"/>
  <c r="AE348" i="22144"/>
  <c r="AG322" i="22144"/>
  <c r="AG297" i="22144"/>
  <c r="AH297" i="22144"/>
  <c r="AF281" i="22144"/>
  <c r="AE274" i="22144"/>
  <c r="AE258" i="22144"/>
  <c r="AF257" i="22144"/>
  <c r="AG252" i="22144"/>
  <c r="AE252" i="22144"/>
  <c r="AE231" i="22144"/>
  <c r="AF225" i="22144"/>
  <c r="AE225" i="22144"/>
  <c r="AE219" i="22144"/>
  <c r="AF210" i="22144"/>
  <c r="AH169" i="22144"/>
  <c r="AE166" i="22144"/>
  <c r="AF135" i="22144"/>
  <c r="AF121" i="22144"/>
  <c r="AG80" i="22144"/>
  <c r="AH42" i="22144"/>
  <c r="AG40" i="22144"/>
  <c r="AH38" i="22144"/>
  <c r="AE36" i="22144"/>
  <c r="AH22" i="22144"/>
  <c r="AE20" i="22144"/>
  <c r="AG386" i="22144"/>
  <c r="AH393" i="22144"/>
  <c r="AE418" i="22144"/>
  <c r="AF318" i="22144"/>
  <c r="AE185" i="22144"/>
  <c r="AG388" i="22144"/>
  <c r="AH245" i="22144"/>
  <c r="AF322" i="22144"/>
  <c r="AF441" i="22144"/>
  <c r="AE210" i="22144"/>
  <c r="AE323" i="22144"/>
  <c r="AA5" i="22144"/>
  <c r="V194" i="22144"/>
  <c r="AD287" i="22144"/>
  <c r="V382" i="22144"/>
  <c r="AD377" i="22144"/>
  <c r="Z301" i="22144"/>
  <c r="V287" i="22144"/>
  <c r="W243" i="22144"/>
  <c r="V223" i="22144"/>
  <c r="AD190" i="22144"/>
  <c r="W188" i="22144"/>
  <c r="W447" i="22144"/>
  <c r="V251" i="22144"/>
  <c r="V356" i="22144"/>
  <c r="W295" i="22144"/>
  <c r="W22" i="22144"/>
  <c r="AD350" i="22144"/>
  <c r="AD111" i="22144"/>
  <c r="V171" i="22144"/>
  <c r="AD87" i="22144"/>
  <c r="W198" i="22144"/>
  <c r="AD301" i="22144"/>
  <c r="AD175" i="22144"/>
  <c r="AH110" i="22144"/>
  <c r="V93" i="22144"/>
  <c r="V431" i="22144"/>
  <c r="Z327" i="22144"/>
  <c r="W299" i="22144"/>
  <c r="W401" i="22144"/>
  <c r="W431" i="22144"/>
  <c r="V22" i="22144"/>
  <c r="V318" i="22144"/>
  <c r="Z5" i="22144"/>
  <c r="AD6" i="22144"/>
  <c r="Z6" i="22144"/>
  <c r="AD15" i="22144"/>
  <c r="W15" i="22144"/>
  <c r="W5" i="22144"/>
  <c r="AD19" i="22144"/>
  <c r="V19" i="22144"/>
  <c r="W19" i="22144"/>
  <c r="V43" i="22144"/>
  <c r="AD43" i="22144"/>
  <c r="AD47" i="22144"/>
  <c r="W47" i="22144"/>
  <c r="AD52" i="22144"/>
  <c r="W52" i="22144"/>
  <c r="V52" i="22144"/>
  <c r="W73" i="22144"/>
  <c r="AD73" i="22144"/>
  <c r="AD74" i="22144"/>
  <c r="Z74" i="22144"/>
  <c r="W108" i="22144"/>
  <c r="AF120" i="22144"/>
  <c r="AE120" i="22144"/>
  <c r="Z124" i="22144"/>
  <c r="Y124" i="22144"/>
  <c r="AH261" i="22144" l="1"/>
  <c r="AG189" i="22144"/>
  <c r="AE86" i="22144"/>
  <c r="AH263" i="22144"/>
  <c r="AH145" i="22144"/>
  <c r="AF106" i="22144"/>
  <c r="AE392" i="22144"/>
  <c r="AH229" i="22144"/>
  <c r="AF113" i="22144"/>
  <c r="AE229" i="22144"/>
  <c r="AF149" i="22144"/>
  <c r="AF261" i="22144"/>
  <c r="AF65" i="22144"/>
  <c r="AG100" i="22144"/>
  <c r="AE114" i="22144"/>
  <c r="AF229" i="22144"/>
  <c r="AE448" i="22144"/>
  <c r="AH356" i="22144"/>
  <c r="AH241" i="22144"/>
  <c r="AG381" i="22144"/>
  <c r="AH114" i="22144"/>
  <c r="AE242" i="22144"/>
  <c r="AH57" i="22144"/>
  <c r="AE168" i="22144"/>
  <c r="AF263" i="22144"/>
  <c r="AF344" i="22144"/>
  <c r="AH92" i="22144"/>
  <c r="AH168" i="22144"/>
  <c r="AE234" i="22144"/>
  <c r="AH106" i="22144"/>
  <c r="AG411" i="22144"/>
  <c r="AF234" i="22144"/>
  <c r="AF223" i="22144"/>
  <c r="AE411" i="22144"/>
  <c r="AG113" i="22144"/>
  <c r="AH191" i="22144"/>
  <c r="AE381" i="22144"/>
  <c r="AG163" i="22144"/>
  <c r="AF242" i="22144"/>
  <c r="AE106" i="22144"/>
  <c r="AH242" i="22144"/>
  <c r="AF163" i="22144"/>
  <c r="AG103" i="22144"/>
  <c r="AE149" i="22144"/>
  <c r="AE356" i="22144"/>
  <c r="AE145" i="22144"/>
  <c r="AE113" i="22144"/>
  <c r="AE223" i="22144"/>
  <c r="AG114" i="22144"/>
  <c r="AG344" i="22144"/>
  <c r="AE92" i="22144"/>
  <c r="AG92" i="22144"/>
  <c r="AG145" i="22144"/>
  <c r="AF168" i="22144"/>
  <c r="AG234" i="22144"/>
  <c r="AE189" i="22144"/>
  <c r="AF189" i="22144"/>
  <c r="AE65" i="22144"/>
  <c r="AG65" i="22144"/>
  <c r="AH23" i="22144"/>
  <c r="AF411" i="22144"/>
  <c r="AH223" i="22144"/>
  <c r="AE49" i="22144"/>
  <c r="AG209" i="22144"/>
  <c r="AF392" i="22144"/>
  <c r="AG54" i="22144"/>
  <c r="AH209" i="22144"/>
  <c r="AG448" i="22144"/>
  <c r="AE191" i="22144"/>
  <c r="AG191" i="22144"/>
  <c r="AH448" i="22144"/>
  <c r="AF381" i="22144"/>
  <c r="AH163" i="22144"/>
  <c r="AG55" i="22144"/>
  <c r="AH55" i="22144"/>
  <c r="AE241" i="22144"/>
  <c r="AF49" i="22144"/>
  <c r="AE103" i="22144"/>
  <c r="AG356" i="22144"/>
  <c r="AF266" i="22144"/>
  <c r="AG241" i="22144"/>
  <c r="AE23" i="22144"/>
  <c r="AH344" i="22144"/>
  <c r="AF209" i="22144"/>
  <c r="AG392" i="22144"/>
  <c r="AG261" i="22144"/>
  <c r="AG75" i="22144"/>
  <c r="AH257" i="22144"/>
  <c r="AH182" i="22144"/>
  <c r="AF328" i="22144"/>
  <c r="AF417" i="22144"/>
  <c r="AG245" i="22144"/>
  <c r="AG366" i="22144"/>
  <c r="AH328" i="22144"/>
  <c r="AF182" i="22144"/>
  <c r="AH100" i="22144"/>
  <c r="AE446" i="22144"/>
  <c r="AH286" i="22144"/>
  <c r="AE250" i="22144"/>
  <c r="AE355" i="22144"/>
  <c r="AF112" i="22144"/>
  <c r="AE395" i="22144"/>
  <c r="AF389" i="22144"/>
  <c r="AG110" i="22144"/>
  <c r="AE132" i="22144"/>
  <c r="AG29" i="22144"/>
  <c r="AE110" i="22144"/>
  <c r="AE75" i="22144"/>
  <c r="AF75" i="22144"/>
  <c r="AF250" i="22144"/>
  <c r="AH395" i="22144"/>
  <c r="AE249" i="22144"/>
  <c r="AF323" i="22144"/>
  <c r="AH323" i="22144"/>
  <c r="AF57" i="22144"/>
  <c r="AE389" i="22144"/>
  <c r="AG335" i="22144"/>
  <c r="AH335" i="22144"/>
  <c r="AE205" i="22144"/>
  <c r="AG446" i="22144"/>
  <c r="AG57" i="22144"/>
  <c r="AH446" i="22144"/>
  <c r="AE286" i="22144"/>
  <c r="AH250" i="22144"/>
  <c r="AF249" i="22144"/>
  <c r="AE329" i="22144"/>
  <c r="AH355" i="22144"/>
  <c r="AH132" i="22144"/>
  <c r="AG361" i="22144"/>
  <c r="AG417" i="22144"/>
  <c r="AE417" i="22144"/>
  <c r="AG329" i="22144"/>
  <c r="AH112" i="22144"/>
  <c r="AE29" i="22144"/>
  <c r="AG395" i="22144"/>
  <c r="AF29" i="22144"/>
  <c r="AF329" i="22144"/>
  <c r="AE263" i="22144"/>
  <c r="AH249" i="22144"/>
  <c r="AF272" i="22144"/>
  <c r="AG402" i="22144"/>
  <c r="AF372" i="22144"/>
  <c r="AG233" i="22144"/>
  <c r="AF243" i="22144"/>
  <c r="AH272" i="22144"/>
  <c r="AG272" i="22144"/>
  <c r="AG243" i="22144"/>
  <c r="AE174" i="22144"/>
  <c r="AE243" i="22144"/>
  <c r="AF174" i="22144"/>
  <c r="AF402" i="22144"/>
  <c r="AF453" i="22144"/>
  <c r="AE402" i="22144"/>
  <c r="AF375" i="22144"/>
  <c r="AH372" i="22144"/>
  <c r="AE266" i="22144"/>
  <c r="AF346" i="22144"/>
  <c r="AF361" i="22144"/>
  <c r="AH361" i="22144"/>
  <c r="AG239" i="22144"/>
  <c r="AG372" i="22144"/>
  <c r="AG174" i="22144"/>
  <c r="AF379" i="22144"/>
  <c r="AG266" i="22144"/>
  <c r="AE379" i="22144"/>
  <c r="AE346" i="22144"/>
  <c r="AG346" i="22144"/>
  <c r="AF100" i="22144"/>
  <c r="AG421" i="22144"/>
  <c r="AH46" i="22144"/>
  <c r="AH449" i="22144"/>
  <c r="AG253" i="22144"/>
  <c r="AG359" i="22144"/>
  <c r="AE239" i="22144"/>
  <c r="AH194" i="22144"/>
  <c r="AH359" i="22144"/>
  <c r="AF39" i="22144"/>
  <c r="AF72" i="22144"/>
  <c r="AG130" i="22144"/>
  <c r="AH33" i="22144"/>
  <c r="AG409" i="22144"/>
  <c r="AF33" i="22144"/>
  <c r="AG244" i="22144"/>
  <c r="AF16" i="22144"/>
  <c r="AE46" i="22144"/>
  <c r="AF194" i="22144"/>
  <c r="AE194" i="22144"/>
  <c r="AG46" i="22144"/>
  <c r="AE449" i="22144"/>
  <c r="AH253" i="22144"/>
  <c r="AF359" i="22144"/>
  <c r="AE453" i="22144"/>
  <c r="AH453" i="22144"/>
  <c r="AG375" i="22144"/>
  <c r="AE253" i="22144"/>
  <c r="AG33" i="22144"/>
  <c r="AH375" i="22144"/>
  <c r="AF409" i="22144"/>
  <c r="AH409" i="22144"/>
  <c r="AF239" i="22144"/>
  <c r="AG449" i="22144"/>
  <c r="AE244" i="22144"/>
  <c r="AG16" i="22144"/>
  <c r="AH244" i="22144"/>
  <c r="AG391" i="22144"/>
  <c r="AE16" i="22144"/>
  <c r="AE391" i="22144"/>
  <c r="AF391" i="22144"/>
  <c r="AF283" i="22144"/>
  <c r="AH39" i="22144"/>
  <c r="AH447" i="22144"/>
  <c r="AH72" i="22144"/>
  <c r="AF230" i="22144"/>
  <c r="AE321" i="22144"/>
  <c r="AH421" i="22144"/>
  <c r="AG351" i="22144"/>
  <c r="AE302" i="22144"/>
  <c r="AF216" i="22144"/>
  <c r="AF427" i="22144"/>
  <c r="AH321" i="22144"/>
  <c r="AF233" i="22144"/>
  <c r="AG427" i="22144"/>
  <c r="AH351" i="22144"/>
  <c r="AH216" i="22144"/>
  <c r="AH276" i="22144"/>
  <c r="AG321" i="22144"/>
  <c r="AG447" i="22144"/>
  <c r="AG276" i="22144"/>
  <c r="AF313" i="22144"/>
  <c r="AH63" i="22144"/>
  <c r="AH82" i="22144"/>
  <c r="AF82" i="22144"/>
  <c r="AG451" i="22144"/>
  <c r="AE451" i="22144"/>
  <c r="AF160" i="22144"/>
  <c r="AG160" i="22144"/>
  <c r="AH302" i="22144"/>
  <c r="AE283" i="22144"/>
  <c r="AF447" i="22144"/>
  <c r="AG216" i="22144"/>
  <c r="AE63" i="22144"/>
  <c r="AG39" i="22144"/>
  <c r="AE82" i="22144"/>
  <c r="AH451" i="22144"/>
  <c r="AG72" i="22144"/>
  <c r="AE130" i="22144"/>
  <c r="AF130" i="22144"/>
  <c r="AF421" i="22144"/>
  <c r="AF351" i="22144"/>
  <c r="AH283" i="22144"/>
  <c r="AF302" i="22144"/>
  <c r="AF276" i="22144"/>
  <c r="AG230" i="22144"/>
  <c r="AE313" i="22144"/>
  <c r="AH160" i="22144"/>
  <c r="AF63" i="22144"/>
  <c r="AE233" i="22144"/>
  <c r="AE160" i="22144"/>
  <c r="AH230" i="22144"/>
  <c r="AH427" i="22144"/>
  <c r="AH313" i="22144"/>
  <c r="AF73" i="22144"/>
  <c r="AH73" i="22144"/>
  <c r="AG73" i="22144"/>
  <c r="AE73" i="22144"/>
  <c r="AE52" i="22144"/>
  <c r="AH52" i="22144"/>
  <c r="AG52" i="22144"/>
  <c r="AF52" i="22144"/>
  <c r="AF47" i="22144"/>
  <c r="AE47" i="22144"/>
  <c r="AG47" i="22144"/>
  <c r="AH47" i="22144"/>
  <c r="AE15" i="22144"/>
  <c r="AF15" i="22144"/>
  <c r="AH15" i="22144"/>
  <c r="AG15" i="22144"/>
  <c r="AH74" i="22144"/>
  <c r="AE74" i="22144"/>
  <c r="AG74" i="22144"/>
  <c r="AF74" i="22144"/>
  <c r="AE43" i="22144"/>
  <c r="AF43" i="22144"/>
  <c r="AG43" i="22144"/>
  <c r="AH43" i="22144"/>
  <c r="AE19" i="22144"/>
  <c r="AF19" i="22144"/>
  <c r="AH19" i="22144"/>
  <c r="AG19" i="22144"/>
  <c r="AH301" i="22144"/>
  <c r="AG301" i="22144"/>
  <c r="AE301" i="22144"/>
  <c r="AF301" i="22144"/>
  <c r="AH87" i="22144"/>
  <c r="AE87" i="22144"/>
  <c r="AF87" i="22144"/>
  <c r="AG87" i="22144"/>
  <c r="AF111" i="22144"/>
  <c r="AH111" i="22144"/>
  <c r="AE111" i="22144"/>
  <c r="AG111" i="22144"/>
  <c r="AH190" i="22144"/>
  <c r="AG190" i="22144"/>
  <c r="AF190" i="22144"/>
  <c r="AE190" i="22144"/>
  <c r="AF352" i="22144"/>
  <c r="AG352" i="22144"/>
  <c r="AE352" i="22144"/>
  <c r="AH352" i="22144"/>
  <c r="AF119" i="22144"/>
  <c r="AE119" i="22144"/>
  <c r="AG119" i="22144"/>
  <c r="AH119" i="22144"/>
  <c r="AE382" i="22144"/>
  <c r="AF382" i="22144"/>
  <c r="AH382" i="22144"/>
  <c r="AG382" i="22144"/>
  <c r="AH327" i="22144"/>
  <c r="AE327" i="22144"/>
  <c r="AF327" i="22144"/>
  <c r="AG327" i="22144"/>
  <c r="AF310" i="22144"/>
  <c r="AE310" i="22144"/>
  <c r="AG310" i="22144"/>
  <c r="AH310" i="22144"/>
  <c r="AE227" i="22144"/>
  <c r="AH227" i="22144"/>
  <c r="AG227" i="22144"/>
  <c r="AF227" i="22144"/>
  <c r="AE198" i="22144"/>
  <c r="AH198" i="22144"/>
  <c r="AG198" i="22144"/>
  <c r="AF198" i="22144"/>
  <c r="AG171" i="22144"/>
  <c r="AH171" i="22144"/>
  <c r="AE171" i="22144"/>
  <c r="AF171" i="22144"/>
  <c r="AE5" i="22144"/>
  <c r="AG6" i="22144"/>
  <c r="AF5" i="22144"/>
  <c r="AF6" i="22144"/>
  <c r="AD5" i="22144"/>
  <c r="AH6" i="22144"/>
  <c r="AE6" i="22144"/>
  <c r="AF175" i="22144"/>
  <c r="AH175" i="22144"/>
  <c r="AG175" i="22144"/>
  <c r="AE175" i="22144"/>
  <c r="AH350" i="22144"/>
  <c r="AE350" i="22144"/>
  <c r="AG350" i="22144"/>
  <c r="AF350" i="22144"/>
  <c r="AH377" i="22144"/>
  <c r="AE377" i="22144"/>
  <c r="AG377" i="22144"/>
  <c r="AF377" i="22144"/>
  <c r="AG287" i="22144"/>
  <c r="AH287" i="22144"/>
  <c r="AE287" i="22144"/>
  <c r="AF287" i="22144"/>
  <c r="AF401" i="22144"/>
  <c r="AH401" i="22144"/>
  <c r="AG401" i="22144"/>
  <c r="AE401" i="22144"/>
  <c r="AG373" i="22144"/>
  <c r="AF373" i="22144"/>
  <c r="AE373" i="22144"/>
  <c r="AH373" i="22144"/>
  <c r="AG299" i="22144"/>
  <c r="AF299" i="22144"/>
  <c r="AH299" i="22144"/>
  <c r="AE299" i="22144"/>
  <c r="AH108" i="22144"/>
  <c r="AG108" i="22144"/>
  <c r="AF108" i="22144"/>
  <c r="AE108" i="22144"/>
  <c r="AF93" i="22144"/>
  <c r="AG93" i="22144"/>
  <c r="AH93" i="22144"/>
  <c r="AE93" i="22144"/>
  <c r="AH251" i="22144"/>
  <c r="AF251" i="22144"/>
  <c r="AE251" i="22144"/>
  <c r="AG251" i="22144"/>
  <c r="AF188" i="22144"/>
  <c r="AG188" i="22144"/>
  <c r="AE188" i="22144"/>
  <c r="AH188" i="22144"/>
  <c r="AG137" i="22144"/>
  <c r="AF137" i="22144"/>
  <c r="AE137" i="22144"/>
  <c r="AH137" i="22144"/>
  <c r="AH95" i="22144"/>
  <c r="AG95" i="22144"/>
  <c r="AE95" i="22144"/>
  <c r="AF95" i="22144"/>
  <c r="AG5" i="22144" l="1"/>
  <c r="AH5" i="22144"/>
</calcChain>
</file>

<file path=xl/comments1.xml><?xml version="1.0" encoding="utf-8"?>
<comments xmlns="http://schemas.openxmlformats.org/spreadsheetml/2006/main">
  <authors>
    <author>Kamenický Petr Mgr.</author>
  </authors>
  <commentList>
    <comment ref="E3" authorId="0" shapeId="0">
      <text>
        <r>
          <rPr>
            <sz val="9"/>
            <color indexed="81"/>
            <rFont val="Tahoma"/>
            <family val="2"/>
            <charset val="238"/>
          </rPr>
          <t>mimo samotnou obec
(v závorce jsou uvedny další osady obce)
kurzívou místní části - městské čtvrti</t>
        </r>
      </text>
    </comment>
    <comment ref="AM4" authorId="0" shapeId="0">
      <text>
        <r>
          <rPr>
            <b/>
            <sz val="9"/>
            <color indexed="81"/>
            <rFont val="Tahoma"/>
            <family val="2"/>
            <charset val="238"/>
          </rPr>
          <t>Podíl obydl.bytů v rodinných domech na obydl.byty celkem(%)</t>
        </r>
      </text>
    </comment>
    <comment ref="AN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Podíl bytů sloužících k rekreaci </t>
        </r>
      </text>
    </comment>
    <comment ref="AO4" authorId="0" shapeId="0">
      <text>
        <r>
          <rPr>
            <b/>
            <sz val="9"/>
            <color indexed="81"/>
            <rFont val="Tahoma"/>
            <family val="2"/>
            <charset val="238"/>
          </rPr>
          <t>průměr výdajů za 2012-2013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P4" authorId="0" shapeId="0">
      <text>
        <r>
          <rPr>
            <b/>
            <sz val="9"/>
            <color indexed="81"/>
            <rFont val="Tahoma"/>
            <family val="2"/>
            <charset val="238"/>
          </rPr>
          <t>průměr výdajů za 2012-2013</t>
        </r>
      </text>
    </comment>
    <comment ref="AU4" authorId="0" shapeId="0">
      <text>
        <r>
          <rPr>
            <b/>
            <sz val="9"/>
            <color indexed="81"/>
            <rFont val="Tahoma"/>
            <family val="2"/>
            <charset val="238"/>
          </rPr>
          <t>Podíl obyvatel ve věku
0-14 na celkovém počtu obyvatel (%)</t>
        </r>
      </text>
    </comment>
    <comment ref="AV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Počet obyvatel ve věku
 15 - 64 let </t>
        </r>
      </text>
    </comment>
    <comment ref="AW4" authorId="0" shapeId="0">
      <text>
        <r>
          <rPr>
            <b/>
            <sz val="9"/>
            <color indexed="81"/>
            <rFont val="Tahoma"/>
            <family val="2"/>
            <charset val="238"/>
          </rPr>
          <t>Podíl obyvatel ve věku 65 a více let na celkovém počtu obyvatel (%)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X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Podíl nezaměstnaných osob dosažitelných (%)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Y4" authorId="0" shapeId="0">
      <text>
        <r>
          <rPr>
            <b/>
            <sz val="9"/>
            <color indexed="81"/>
            <rFont val="Tahoma"/>
            <family val="2"/>
            <charset val="238"/>
          </rPr>
          <t>Podíl ekonomicky aktivních zaměstnaných v priméru (%)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Z4" authorId="0" shapeId="0">
      <text>
        <r>
          <rPr>
            <b/>
            <sz val="9"/>
            <color indexed="81"/>
            <rFont val="Tahoma"/>
            <family val="2"/>
            <charset val="238"/>
          </rPr>
          <t>Podíl ekonomicky aktivních zaměstnaných v priméru (%)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A4" authorId="0" shapeId="0">
      <text>
        <r>
          <rPr>
            <b/>
            <sz val="9"/>
            <color indexed="81"/>
            <rFont val="Tahoma"/>
            <family val="2"/>
            <charset val="238"/>
          </rPr>
          <t>Podíl ekonomicky aktivních zaměstnaných v priméru (%)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B4" authorId="0" shapeId="0">
      <text>
        <r>
          <rPr>
            <b/>
            <sz val="9"/>
            <color indexed="81"/>
            <rFont val="Tahoma"/>
            <family val="2"/>
            <charset val="238"/>
          </rPr>
          <t>Zaměstnaní vyjíždějící do zaměstnání mimo obec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G4" authorId="0" shapeId="0">
      <text>
        <r>
          <rPr>
            <b/>
            <sz val="9"/>
            <color indexed="81"/>
            <rFont val="Tahoma"/>
            <family val="2"/>
            <charset val="238"/>
          </rPr>
          <t>Podíl obyvatel v obydl.bytech s přípojem na kanalizační síť (%)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I4" authorId="0" shapeId="0">
      <text>
        <r>
          <rPr>
            <b/>
            <sz val="9"/>
            <color indexed="81"/>
            <rFont val="Tahoma"/>
            <family val="2"/>
            <charset val="238"/>
          </rPr>
          <t>Podíl obyvatel v obydl.bytech s plynem zavedeným do bytu (%)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  <charset val="238"/>
          </rPr>
          <t>412 obcí I. řádu
21 obcí II. řádu
15 obcí III. řádu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6" authorId="0" shapeId="0">
      <text>
        <r>
          <rPr>
            <b/>
            <sz val="9"/>
            <color indexed="81"/>
            <rFont val="Tahoma"/>
            <family val="2"/>
            <charset val="238"/>
          </rPr>
          <t>2014 neúspěšně</t>
        </r>
      </text>
    </comment>
    <comment ref="AD8" authorId="0" shapeId="0">
      <text>
        <r>
          <rPr>
            <sz val="9"/>
            <color indexed="81"/>
            <rFont val="Tahoma"/>
            <family val="2"/>
            <charset val="238"/>
          </rPr>
          <t xml:space="preserve">dosud nežádali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  <charset val="238"/>
          </rPr>
          <t>Kamenický Petr Mgr.:</t>
        </r>
        <r>
          <rPr>
            <sz val="9"/>
            <color indexed="81"/>
            <rFont val="Tahoma"/>
            <family val="2"/>
            <charset val="238"/>
          </rPr>
          <t xml:space="preserve">
urad@bacalky.cz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vedoucí fin. odboru MěÚ Rokytnice - kontakt tam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12" authorId="0" shapeId="0">
      <text>
        <r>
          <rPr>
            <b/>
            <sz val="9"/>
            <color indexed="81"/>
            <rFont val="Tahoma"/>
            <family val="2"/>
            <charset val="238"/>
          </rPr>
          <t>vedoucí fin. odboru MěÚ Rokytnice - kontakt tam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vedoucí fin. odboru MěÚ Rokytnice - kontakt tam
</t>
        </r>
      </text>
    </comment>
    <comment ref="T1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vedoucí fin. odboru MěÚ Rokytnice - kontakt tam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C12" authorId="0" shapeId="0">
      <text>
        <r>
          <rPr>
            <b/>
            <sz val="9"/>
            <color indexed="81"/>
            <rFont val="Tahoma"/>
            <family val="2"/>
            <charset val="238"/>
          </rPr>
          <t>předchozí z roku 1998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13" authorId="0" shapeId="0">
      <text>
        <r>
          <rPr>
            <b/>
            <sz val="9"/>
            <color indexed="81"/>
            <rFont val="Tahoma"/>
            <family val="2"/>
            <charset val="238"/>
          </rPr>
          <t>2011 žádali naposled</t>
        </r>
      </text>
    </comment>
    <comment ref="BD13" authorId="0" shapeId="0">
      <text>
        <r>
          <rPr>
            <b/>
            <sz val="9"/>
            <color indexed="81"/>
            <rFont val="Tahoma"/>
            <family val="2"/>
            <charset val="238"/>
          </rPr>
          <t>2010</t>
        </r>
      </text>
    </comment>
    <comment ref="O22" authorId="0" shapeId="0">
      <text>
        <r>
          <rPr>
            <b/>
            <sz val="9"/>
            <color indexed="81"/>
            <rFont val="Tahoma"/>
            <family val="2"/>
            <charset val="238"/>
          </rPr>
          <t>posta@bilskouhoric.obecni-urad.org</t>
        </r>
      </text>
    </comment>
    <comment ref="K23" authorId="0" shapeId="0">
      <text>
        <r>
          <rPr>
            <b/>
            <sz val="9"/>
            <color indexed="81"/>
            <rFont val="Tahoma"/>
            <family val="2"/>
            <charset val="238"/>
          </rPr>
          <t>oubu@wo.cz</t>
        </r>
      </text>
    </comment>
    <comment ref="L23" authorId="0" shapeId="0">
      <text>
        <r>
          <rPr>
            <b/>
            <sz val="9"/>
            <color indexed="81"/>
            <rFont val="Tahoma"/>
            <family val="2"/>
            <charset val="238"/>
          </rPr>
          <t>494 666 111</t>
        </r>
      </text>
    </comment>
    <comment ref="AD24" authorId="0" shapeId="0">
      <text>
        <r>
          <rPr>
            <sz val="9"/>
            <color indexed="81"/>
            <rFont val="Tahoma"/>
            <family val="2"/>
            <charset val="238"/>
          </rPr>
          <t xml:space="preserve">dosud nežádali
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  <charset val="238"/>
          </rPr>
          <t>nad Metují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  <charset val="238"/>
          </rPr>
          <t>borek.ou@worldonline.cz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  <charset val="238"/>
          </rPr>
          <t>494 381 602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31" authorId="0" shapeId="0">
      <text>
        <r>
          <rPr>
            <b/>
            <sz val="9"/>
            <color indexed="81"/>
            <rFont val="Tahoma"/>
            <family val="2"/>
            <charset val="238"/>
          </rPr>
          <t>494 381 602</t>
        </r>
      </text>
    </comment>
    <comment ref="AP32" authorId="0" shapeId="0">
      <text>
        <r>
          <rPr>
            <b/>
            <sz val="9"/>
            <color indexed="81"/>
            <rFont val="Tahoma"/>
            <family val="2"/>
            <charset val="238"/>
          </rPr>
          <t>opraveno dle POV 2016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  <charset val="238"/>
          </rPr>
          <t>u Staré Paky</t>
        </r>
      </text>
    </comment>
    <comment ref="AD34" authorId="0" shapeId="0">
      <text>
        <r>
          <rPr>
            <sz val="9"/>
            <color indexed="81"/>
            <rFont val="Tahoma"/>
            <family val="2"/>
            <charset val="238"/>
          </rPr>
          <t xml:space="preserve">dosud nežádali
</t>
        </r>
      </text>
    </comment>
    <comment ref="AD35" authorId="0" shapeId="0">
      <text>
        <r>
          <rPr>
            <sz val="9"/>
            <color indexed="81"/>
            <rFont val="Tahoma"/>
            <family val="2"/>
            <charset val="238"/>
          </rPr>
          <t xml:space="preserve">dosud nežádali
</t>
        </r>
      </text>
    </comment>
    <comment ref="U36" authorId="0" shapeId="0">
      <text>
        <r>
          <rPr>
            <b/>
            <sz val="9"/>
            <color indexed="81"/>
            <rFont val="Tahoma"/>
            <family val="2"/>
            <charset val="238"/>
          </rPr>
          <t>2014 a 2016 neúspěšně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E36" authorId="0" shapeId="0">
      <text>
        <r>
          <rPr>
            <b/>
            <sz val="9"/>
            <color indexed="81"/>
            <rFont val="Tahoma"/>
            <family val="2"/>
            <charset val="238"/>
          </rPr>
          <t>2011 a 2015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F36" authorId="0" shapeId="0">
      <text>
        <r>
          <rPr>
            <b/>
            <sz val="9"/>
            <color indexed="81"/>
            <rFont val="Tahoma"/>
            <family val="2"/>
            <charset val="238"/>
          </rPr>
          <t>2011 a 2015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  <charset val="238"/>
          </rPr>
          <t>+ kolonie 5.května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  <charset val="238"/>
          </rPr>
          <t>491 504 111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38" authorId="0" shapeId="0">
      <text>
        <r>
          <rPr>
            <b/>
            <sz val="9"/>
            <color indexed="81"/>
            <rFont val="Tahoma"/>
            <family val="2"/>
            <charset val="238"/>
          </rPr>
          <t>bitnar@broumov-mesto.cz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C41" authorId="0" shapeId="0">
      <text>
        <r>
          <rPr>
            <b/>
            <sz val="9"/>
            <color indexed="81"/>
            <rFont val="Tahoma"/>
            <family val="2"/>
            <charset val="238"/>
          </rPr>
          <t>předchozí z roku 1998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K43" authorId="0" shapeId="0">
      <text>
        <r>
          <rPr>
            <b/>
            <sz val="9"/>
            <color indexed="81"/>
            <rFont val="Tahoma"/>
            <family val="2"/>
            <charset val="238"/>
          </rPr>
          <t>malotřídka</t>
        </r>
      </text>
    </comment>
    <comment ref="AD44" authorId="0" shapeId="0">
      <text>
        <r>
          <rPr>
            <b/>
            <sz val="9"/>
            <color indexed="81"/>
            <rFont val="Tahoma"/>
            <family val="2"/>
            <charset val="238"/>
          </rPr>
          <t>2011 žádali naposled</t>
        </r>
      </text>
    </comment>
    <comment ref="BC47" authorId="0" shapeId="0">
      <text>
        <r>
          <rPr>
            <b/>
            <sz val="9"/>
            <color indexed="81"/>
            <rFont val="Tahoma"/>
            <family val="2"/>
            <charset val="238"/>
          </rPr>
          <t>předchozí z roku 2002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48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</text>
    </comment>
    <comment ref="BC48" authorId="0" shapeId="0">
      <text>
        <r>
          <rPr>
            <b/>
            <sz val="9"/>
            <color indexed="81"/>
            <rFont val="Tahoma"/>
            <family val="2"/>
            <charset val="238"/>
          </rPr>
          <t>předchozí z roku 2006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49" authorId="0" shapeId="0">
      <text>
        <r>
          <rPr>
            <b/>
            <sz val="9"/>
            <color indexed="81"/>
            <rFont val="Tahoma"/>
            <family val="2"/>
            <charset val="238"/>
          </rPr>
          <t>Čenice 2.díl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C49" authorId="0" shapeId="0">
      <text>
        <r>
          <rPr>
            <b/>
            <sz val="9"/>
            <color indexed="81"/>
            <rFont val="Tahoma"/>
            <family val="2"/>
            <charset val="238"/>
          </rPr>
          <t>předchozí z roku 2000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50" authorId="0" shapeId="0">
      <text>
        <r>
          <rPr>
            <b/>
            <sz val="9"/>
            <color indexed="81"/>
            <rFont val="Tahoma"/>
            <family val="2"/>
            <charset val="238"/>
          </rPr>
          <t>494 323 911</t>
        </r>
      </text>
    </comment>
    <comment ref="U50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</text>
    </comment>
    <comment ref="C51" authorId="0" shapeId="0">
      <text>
        <r>
          <rPr>
            <b/>
            <sz val="9"/>
            <color indexed="81"/>
            <rFont val="Tahoma"/>
            <family val="2"/>
            <charset val="238"/>
          </rPr>
          <t>u Vrchlabí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5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160
</t>
        </r>
      </text>
    </comment>
    <comment ref="BF52" authorId="0" shapeId="0">
      <text>
        <r>
          <rPr>
            <b/>
            <sz val="9"/>
            <color indexed="81"/>
            <rFont val="Tahoma"/>
            <family val="2"/>
            <charset val="238"/>
          </rPr>
          <t>2014</t>
        </r>
      </text>
    </comment>
    <comment ref="C56" authorId="0" shapeId="0">
      <text>
        <r>
          <rPr>
            <b/>
            <sz val="9"/>
            <color indexed="81"/>
            <rFont val="Tahoma"/>
            <family val="2"/>
            <charset val="238"/>
          </rPr>
          <t>nad Labem</t>
        </r>
      </text>
    </comment>
    <comment ref="BC59" authorId="0" shapeId="0">
      <text>
        <r>
          <rPr>
            <b/>
            <sz val="9"/>
            <color indexed="81"/>
            <rFont val="Tahoma"/>
            <family val="2"/>
            <charset val="238"/>
          </rPr>
          <t>předchozí z roku 2005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E59" authorId="0" shapeId="0">
      <text>
        <r>
          <rPr>
            <b/>
            <sz val="9"/>
            <color indexed="81"/>
            <rFont val="Tahoma"/>
            <family val="2"/>
            <charset val="238"/>
          </rPr>
          <t>2016</t>
        </r>
      </text>
    </comment>
    <comment ref="L61" authorId="0" shapeId="0">
      <text>
        <r>
          <rPr>
            <b/>
            <sz val="9"/>
            <color indexed="81"/>
            <rFont val="Tahoma"/>
            <family val="2"/>
            <charset val="238"/>
          </rPr>
          <t>491 428 421</t>
        </r>
      </text>
    </comment>
    <comment ref="T63" authorId="0" shapeId="0">
      <text>
        <r>
          <rPr>
            <b/>
            <sz val="9"/>
            <color indexed="81"/>
            <rFont val="Tahoma"/>
            <family val="2"/>
            <charset val="238"/>
          </rPr>
          <t>702 129 357</t>
        </r>
      </text>
    </comment>
    <comment ref="K64" authorId="0" shapeId="0">
      <text>
        <r>
          <rPr>
            <b/>
            <sz val="9"/>
            <color indexed="81"/>
            <rFont val="Tahoma"/>
            <family val="2"/>
            <charset val="238"/>
          </rPr>
          <t>info@ceskemezirici.cz</t>
        </r>
      </text>
    </comment>
    <comment ref="U64" authorId="0" shapeId="0">
      <text>
        <r>
          <rPr>
            <b/>
            <sz val="9"/>
            <color indexed="81"/>
            <rFont val="Tahoma"/>
            <family val="2"/>
            <charset val="238"/>
          </rPr>
          <t>2014 neúspěšně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F64" authorId="0" shapeId="0">
      <text>
        <r>
          <rPr>
            <b/>
            <sz val="9"/>
            <color indexed="81"/>
            <rFont val="Tahoma"/>
            <family val="2"/>
            <charset val="238"/>
          </rPr>
          <t>2016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65" authorId="0" shapeId="0">
      <text>
        <r>
          <rPr>
            <b/>
            <sz val="9"/>
            <color indexed="81"/>
            <rFont val="Tahoma"/>
            <family val="2"/>
            <charset val="238"/>
          </rPr>
          <t>724179770</t>
        </r>
      </text>
    </comment>
    <comment ref="P66" authorId="0" shapeId="0">
      <text>
        <r>
          <rPr>
            <b/>
            <sz val="9"/>
            <color indexed="81"/>
            <rFont val="Tahoma"/>
            <family val="2"/>
            <charset val="238"/>
          </rPr>
          <t>776177788</t>
        </r>
      </text>
    </comment>
    <comment ref="BD66" authorId="0" shapeId="0">
      <text>
        <r>
          <rPr>
            <b/>
            <sz val="9"/>
            <color indexed="81"/>
            <rFont val="Tahoma"/>
            <family val="2"/>
            <charset val="238"/>
          </rPr>
          <t>2016</t>
        </r>
      </text>
    </comment>
    <comment ref="AD67" authorId="0" shapeId="0">
      <text>
        <r>
          <rPr>
            <sz val="9"/>
            <color indexed="81"/>
            <rFont val="Tahoma"/>
            <family val="2"/>
            <charset val="238"/>
          </rPr>
          <t xml:space="preserve">dosud nežádali
</t>
        </r>
      </text>
    </comment>
    <comment ref="BF69" authorId="0" shapeId="0">
      <text>
        <r>
          <rPr>
            <b/>
            <sz val="9"/>
            <color indexed="81"/>
            <rFont val="Tahoma"/>
            <family val="2"/>
            <charset val="238"/>
          </rPr>
          <t>2012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L69" authorId="0" shapeId="0">
      <text>
        <r>
          <rPr>
            <b/>
            <sz val="9"/>
            <color indexed="81"/>
            <rFont val="Tahoma"/>
            <charset val="1"/>
          </rPr>
          <t>SDH Brodek</t>
        </r>
      </text>
    </comment>
    <comment ref="AD70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</text>
    </comment>
    <comment ref="AD71" authorId="0" shapeId="0">
      <text>
        <r>
          <rPr>
            <sz val="9"/>
            <color indexed="81"/>
            <rFont val="Tahoma"/>
            <family val="2"/>
            <charset val="238"/>
          </rPr>
          <t xml:space="preserve">dosud nežádali
</t>
        </r>
      </text>
    </comment>
    <comment ref="P74" authorId="0" shapeId="0">
      <text>
        <r>
          <rPr>
            <b/>
            <sz val="9"/>
            <color indexed="81"/>
            <rFont val="Tahoma"/>
            <family val="2"/>
            <charset val="238"/>
          </rPr>
          <t>494629643</t>
        </r>
      </text>
    </comment>
    <comment ref="P75" authorId="0" shapeId="0">
      <text>
        <r>
          <rPr>
            <b/>
            <sz val="9"/>
            <color indexed="81"/>
            <rFont val="Tahoma"/>
            <family val="2"/>
            <charset val="238"/>
          </rPr>
          <t>494665526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77" authorId="0" shapeId="0">
      <text>
        <r>
          <rPr>
            <b/>
            <sz val="9"/>
            <color indexed="81"/>
            <rFont val="Tahoma"/>
            <family val="2"/>
            <charset val="238"/>
          </rPr>
          <t>724 188 644</t>
        </r>
      </text>
    </comment>
    <comment ref="C78" authorId="0" shapeId="0">
      <text>
        <r>
          <rPr>
            <b/>
            <sz val="9"/>
            <color indexed="81"/>
            <rFont val="Tahoma"/>
            <family val="2"/>
            <charset val="238"/>
          </rPr>
          <t>u Jaroměře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79" authorId="0" shapeId="0">
      <text>
        <r>
          <rPr>
            <sz val="9"/>
            <color indexed="81"/>
            <rFont val="Tahoma"/>
            <family val="2"/>
            <charset val="238"/>
          </rPr>
          <t>2014 neúspěšně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80" authorId="0" shapeId="0">
      <text>
        <r>
          <rPr>
            <sz val="9"/>
            <color indexed="81"/>
            <rFont val="Tahoma"/>
            <family val="2"/>
            <charset val="238"/>
          </rPr>
          <t xml:space="preserve">dosud nežádali
</t>
        </r>
      </text>
    </comment>
    <comment ref="U81" authorId="0" shapeId="0">
      <text>
        <r>
          <rPr>
            <sz val="9"/>
            <color indexed="81"/>
            <rFont val="Tahoma"/>
            <family val="2"/>
            <charset val="238"/>
          </rPr>
          <t>2014 neúspěšně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84" authorId="0" shapeId="0">
      <text>
        <r>
          <rPr>
            <b/>
            <sz val="9"/>
            <color indexed="81"/>
            <rFont val="Tahoma"/>
            <family val="2"/>
            <charset val="238"/>
          </rPr>
          <t>podatelna@dolnilochov.cz</t>
        </r>
      </text>
    </comment>
    <comment ref="C88" authorId="0" shapeId="0">
      <text>
        <r>
          <rPr>
            <b/>
            <sz val="9"/>
            <color indexed="81"/>
            <rFont val="Tahoma"/>
            <family val="2"/>
            <charset val="238"/>
          </rPr>
          <t>u Dvora Králové n.L.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91" authorId="0" shapeId="0">
      <text>
        <r>
          <rPr>
            <b/>
            <sz val="9"/>
            <color indexed="81"/>
            <rFont val="Tahoma"/>
            <family val="2"/>
            <charset val="238"/>
          </rPr>
          <t>u Dvora Králové n.L.</t>
        </r>
      </text>
    </comment>
    <comment ref="BC91" authorId="0" shapeId="0">
      <text>
        <r>
          <rPr>
            <b/>
            <sz val="9"/>
            <color indexed="81"/>
            <rFont val="Tahoma"/>
            <family val="2"/>
            <charset val="238"/>
          </rPr>
          <t>předchozí z roku 2003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F94" authorId="0" shapeId="0">
      <text>
        <r>
          <rPr>
            <b/>
            <sz val="9"/>
            <color indexed="81"/>
            <rFont val="Tahoma"/>
            <family val="2"/>
            <charset val="238"/>
          </rPr>
          <t>2015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E96" authorId="0" shapeId="0">
      <text>
        <r>
          <rPr>
            <b/>
            <sz val="9"/>
            <color indexed="81"/>
            <rFont val="Tahoma"/>
            <family val="2"/>
            <charset val="238"/>
          </rPr>
          <t>2011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97" authorId="0" shapeId="0">
      <text>
        <r>
          <rPr>
            <b/>
            <sz val="9"/>
            <color indexed="81"/>
            <rFont val="Tahoma"/>
            <family val="2"/>
            <charset val="238"/>
          </rPr>
          <t>nad Labem</t>
        </r>
      </text>
    </comment>
    <comment ref="U98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F100" authorId="0" shapeId="0">
      <text>
        <r>
          <rPr>
            <b/>
            <sz val="9"/>
            <color indexed="81"/>
            <rFont val="Tahoma"/>
            <family val="2"/>
            <charset val="238"/>
          </rPr>
          <t>2012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104" authorId="0" shapeId="0">
      <text>
        <r>
          <rPr>
            <sz val="9"/>
            <color indexed="81"/>
            <rFont val="Tahoma"/>
            <family val="2"/>
            <charset val="238"/>
          </rPr>
          <t>2011 naposledy</t>
        </r>
      </text>
    </comment>
    <comment ref="AD109" authorId="0" shapeId="0">
      <text>
        <r>
          <rPr>
            <b/>
            <sz val="9"/>
            <color indexed="81"/>
            <rFont val="Tahoma"/>
            <family val="2"/>
            <charset val="238"/>
          </rPr>
          <t>jen Čistá obec…
krajské progarmy zatím nežádali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10" authorId="0" shapeId="0">
      <text>
        <r>
          <rPr>
            <b/>
            <sz val="9"/>
            <color indexed="81"/>
            <rFont val="Tahoma"/>
            <family val="2"/>
            <charset val="238"/>
          </rPr>
          <t>v Podkrkonoší</t>
        </r>
      </text>
    </comment>
    <comment ref="O114" authorId="0" shapeId="0">
      <text>
        <r>
          <rPr>
            <b/>
            <sz val="9"/>
            <color indexed="81"/>
            <rFont val="Tahoma"/>
            <family val="2"/>
            <charset val="238"/>
          </rPr>
          <t>též zdenek.fink@mmhk.cz</t>
        </r>
      </text>
    </comment>
    <comment ref="BC118" authorId="0" shapeId="0">
      <text>
        <r>
          <rPr>
            <b/>
            <sz val="9"/>
            <color indexed="81"/>
            <rFont val="Tahoma"/>
            <family val="2"/>
            <charset val="238"/>
          </rPr>
          <t>předchozí z roku 2006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D118" authorId="0" shapeId="0">
      <text>
        <r>
          <rPr>
            <b/>
            <sz val="9"/>
            <color indexed="81"/>
            <rFont val="Tahoma"/>
            <family val="2"/>
            <charset val="238"/>
          </rPr>
          <t>2016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Q120" authorId="0" shapeId="0">
      <text>
        <r>
          <rPr>
            <b/>
            <sz val="9"/>
            <color indexed="81"/>
            <rFont val="Tahoma"/>
            <charset val="1"/>
          </rPr>
          <t>...Obec má vybudovány kompletní inženýrské sítě, tj. veřejný vodovod, kanalizační řád a rozvod plynu. To umožnilo řadě zájemců o kvalitní bydlení v klidném prostředí a v těsné blízkosti Hradce Králové, zahájit výstavbu svých rodinných domků, v souladu se schváleným územním plánem v rámci realizace dalšího rozvoje obce....</t>
        </r>
      </text>
    </comment>
    <comment ref="BF120" authorId="0" shapeId="0">
      <text>
        <r>
          <rPr>
            <b/>
            <sz val="9"/>
            <color indexed="81"/>
            <rFont val="Tahoma"/>
            <charset val="1"/>
          </rPr>
          <t>...Kanalizace splašková napojená na ČOV Libčany: 2004</t>
        </r>
      </text>
    </comment>
    <comment ref="BJ120" authorId="0" shapeId="0">
      <text>
        <r>
          <rPr>
            <b/>
            <sz val="9"/>
            <color indexed="81"/>
            <rFont val="Tahoma"/>
            <charset val="1"/>
          </rPr>
          <t>...Základní i mateřská škola jsou umístěny v nedaleké obci Libčany, vzdálené cca 2 km od centra naší obce.</t>
        </r>
      </text>
    </comment>
    <comment ref="BK120" authorId="0" shapeId="0">
      <text>
        <r>
          <rPr>
            <b/>
            <sz val="9"/>
            <color indexed="81"/>
            <rFont val="Tahoma"/>
            <charset val="1"/>
          </rPr>
          <t>...Základní i mateřská škola jsou umístěny v nedaleké obci Libčany, vzdálené cca 2 km od centra naší obce.</t>
        </r>
      </text>
    </comment>
    <comment ref="BN120" authorId="0" shapeId="0">
      <text>
        <r>
          <rPr>
            <b/>
            <sz val="9"/>
            <color indexed="81"/>
            <rFont val="Tahoma"/>
            <charset val="1"/>
          </rPr>
          <t>Aktuálně probíhá rekonstrukce antukového kurtu pro tenis, odbíjenou a nohejbal.
V obci je k dispozici hřiště na "ruské" kuželky.</t>
        </r>
      </text>
    </comment>
    <comment ref="K121" authorId="0" shapeId="0">
      <text>
        <r>
          <rPr>
            <b/>
            <sz val="9"/>
            <color indexed="81"/>
            <rFont val="Tahoma"/>
            <family val="2"/>
            <charset val="238"/>
          </rPr>
          <t>obec.hyncice@worldonline.cz</t>
        </r>
      </text>
    </comment>
    <comment ref="AD121" authorId="0" shapeId="0">
      <text>
        <r>
          <rPr>
            <b/>
            <sz val="9"/>
            <color indexed="81"/>
            <rFont val="Tahoma"/>
            <family val="2"/>
            <charset val="238"/>
          </rPr>
          <t>jen Čistá obec…
krajské progarmy zatím nežádali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N122" authorId="0" shapeId="0">
      <text>
        <r>
          <rPr>
            <b/>
            <sz val="9"/>
            <color indexed="81"/>
            <rFont val="Tahoma"/>
            <family val="2"/>
            <charset val="238"/>
          </rPr>
          <t>volejbalové hřiště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123" authorId="0" shapeId="0">
      <text>
        <r>
          <rPr>
            <sz val="9"/>
            <color indexed="81"/>
            <rFont val="Tahoma"/>
            <family val="2"/>
            <charset val="238"/>
          </rPr>
          <t xml:space="preserve">dosud nežádali
</t>
        </r>
      </text>
    </comment>
    <comment ref="D124" authorId="0" shapeId="0">
      <text>
        <r>
          <rPr>
            <b/>
            <sz val="9"/>
            <color indexed="81"/>
            <rFont val="Tahoma"/>
            <family val="2"/>
            <charset val="238"/>
          </rPr>
          <t>+ 3x Clumec n.C. II., III. a IV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25" authorId="0" shapeId="0">
      <text>
        <r>
          <rPr>
            <b/>
            <sz val="9"/>
            <color indexed="81"/>
            <rFont val="Tahoma"/>
            <family val="2"/>
            <charset val="238"/>
          </rPr>
          <t>cholenice@tiscali.cz</t>
        </r>
      </text>
    </comment>
    <comment ref="AD125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</text>
    </comment>
    <comment ref="BD125" authorId="0" shapeId="0">
      <text>
        <r>
          <rPr>
            <b/>
            <sz val="9"/>
            <color indexed="81"/>
            <rFont val="Tahoma"/>
            <family val="2"/>
            <charset val="238"/>
          </rPr>
          <t>2016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26" authorId="0" shapeId="0">
      <text>
        <r>
          <rPr>
            <b/>
            <sz val="9"/>
            <color indexed="81"/>
            <rFont val="Tahoma"/>
            <family val="2"/>
            <charset val="238"/>
          </rPr>
          <t>u Hořic v Podkrkonoší</t>
        </r>
      </text>
    </comment>
    <comment ref="BC126" authorId="0" shapeId="0">
      <text>
        <r>
          <rPr>
            <b/>
            <sz val="9"/>
            <color indexed="81"/>
            <rFont val="Tahoma"/>
            <family val="2"/>
            <charset val="238"/>
          </rPr>
          <t>předchozí z roku 2005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127" authorId="0" shapeId="0">
      <text>
        <r>
          <rPr>
            <b/>
            <sz val="9"/>
            <color indexed="81"/>
            <rFont val="Tahoma"/>
            <family val="2"/>
            <charset val="238"/>
          </rPr>
          <t>2011 žádali naposled</t>
        </r>
      </text>
    </comment>
    <comment ref="AK127" authorId="0" shapeId="0">
      <text>
        <r>
          <rPr>
            <b/>
            <sz val="9"/>
            <color indexed="81"/>
            <rFont val="Tahoma"/>
            <family val="2"/>
            <charset val="238"/>
          </rPr>
          <t>Obec má v současné době 201 trvale žijících obyvatel, kteří obývají 68 domů. Zbývajících cca 50 domů je ve vlastnictví chalupářů.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N127" authorId="0" shapeId="0">
      <text>
        <r>
          <rPr>
            <b/>
            <sz val="9"/>
            <color indexed="81"/>
            <rFont val="Tahoma"/>
            <family val="2"/>
            <charset val="238"/>
          </rPr>
          <t>dvě sportovní hřiště. Jedno asfaltové a druhé tenisové. K dispozici je basketbalový koš. Vedle nich je dětský koutek s prolézačkami, houpačkami, skluzavkou a pískovištěm</t>
        </r>
      </text>
    </comment>
    <comment ref="T128" authorId="0" shapeId="0">
      <text>
        <r>
          <rPr>
            <b/>
            <sz val="9"/>
            <color indexed="81"/>
            <rFont val="Tahoma"/>
            <family val="2"/>
            <charset val="238"/>
          </rPr>
          <t>603 253 760</t>
        </r>
      </text>
    </comment>
    <comment ref="U128" authorId="0" shapeId="0">
      <text>
        <r>
          <rPr>
            <sz val="9"/>
            <color indexed="81"/>
            <rFont val="Tahoma"/>
            <family val="2"/>
            <charset val="238"/>
          </rPr>
          <t>dosud nežádali</t>
        </r>
      </text>
    </comment>
    <comment ref="BE128" authorId="0" shapeId="0">
      <text>
        <r>
          <rPr>
            <b/>
            <sz val="9"/>
            <color indexed="81"/>
            <rFont val="Tahoma"/>
            <family val="2"/>
            <charset val="238"/>
          </rPr>
          <t>částečně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E131" authorId="0" shapeId="0">
      <text>
        <r>
          <rPr>
            <b/>
            <sz val="9"/>
            <color indexed="81"/>
            <rFont val="Tahoma"/>
            <family val="2"/>
            <charset val="238"/>
          </rPr>
          <t>částečně 2016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32" authorId="0" shapeId="0">
      <text>
        <r>
          <rPr>
            <b/>
            <sz val="9"/>
            <color indexed="81"/>
            <rFont val="Tahoma"/>
            <family val="2"/>
            <charset val="238"/>
          </rPr>
          <t>v Čechách</t>
        </r>
      </text>
    </comment>
    <comment ref="BE132" authorId="0" shapeId="0">
      <text>
        <r>
          <rPr>
            <b/>
            <sz val="9"/>
            <color indexed="81"/>
            <rFont val="Tahoma"/>
            <family val="2"/>
            <charset val="238"/>
          </rPr>
          <t>2013</t>
        </r>
        <r>
          <rPr>
            <sz val="9"/>
            <color indexed="81"/>
            <rFont val="Tahoma"/>
            <family val="2"/>
            <charset val="238"/>
          </rPr>
          <t xml:space="preserve">
ve výstavbě</t>
        </r>
      </text>
    </comment>
    <comment ref="BC133" authorId="0" shapeId="0">
      <text>
        <r>
          <rPr>
            <b/>
            <sz val="9"/>
            <color indexed="81"/>
            <rFont val="Tahoma"/>
            <family val="2"/>
            <charset val="238"/>
          </rPr>
          <t>předchozí z roku 2003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35" authorId="0" shapeId="0">
      <text>
        <r>
          <rPr>
            <b/>
            <sz val="9"/>
            <color indexed="81"/>
            <rFont val="Tahoma"/>
            <family val="2"/>
            <charset val="238"/>
          </rPr>
          <t>janov@two.cz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135" authorId="0" shapeId="0">
      <text>
        <r>
          <rPr>
            <sz val="9"/>
            <color indexed="81"/>
            <rFont val="Tahoma"/>
            <family val="2"/>
            <charset val="238"/>
          </rPr>
          <t xml:space="preserve">dosud nežádali
</t>
        </r>
      </text>
    </comment>
    <comment ref="E136" authorId="0" shapeId="0">
      <text>
        <r>
          <rPr>
            <b/>
            <sz val="9"/>
            <color indexed="81"/>
            <rFont val="Tahoma"/>
            <family val="2"/>
            <charset val="238"/>
          </rPr>
          <t>do 2009 místní část</t>
        </r>
      </text>
    </comment>
    <comment ref="P141" authorId="0" shapeId="0">
      <text>
        <r>
          <rPr>
            <b/>
            <sz val="9"/>
            <color indexed="81"/>
            <rFont val="Tahoma"/>
            <family val="2"/>
            <charset val="238"/>
          </rPr>
          <t>736 410 015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141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</text>
    </comment>
    <comment ref="U143" authorId="0" shapeId="0">
      <text>
        <r>
          <rPr>
            <b/>
            <sz val="9"/>
            <color indexed="81"/>
            <rFont val="Tahoma"/>
            <family val="2"/>
            <charset val="238"/>
          </rPr>
          <t>2015 neúspěšně</t>
        </r>
      </text>
    </comment>
    <comment ref="O144" authorId="0" shapeId="0">
      <text>
        <r>
          <rPr>
            <b/>
            <sz val="9"/>
            <color indexed="81"/>
            <rFont val="Tahoma"/>
            <family val="2"/>
            <charset val="238"/>
          </rPr>
          <t>starosta@mujicin.cz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u Dobrušky
</t>
        </r>
        <r>
          <rPr>
            <sz val="9"/>
            <color indexed="81"/>
            <rFont val="Tahoma"/>
            <family val="2"/>
            <charset val="238"/>
          </rPr>
          <t xml:space="preserve">(TA Jílovice !!!)
</t>
        </r>
      </text>
    </comment>
    <comment ref="F146" authorId="0" shapeId="0">
      <text>
        <r>
          <rPr>
            <b/>
            <sz val="9"/>
            <color indexed="81"/>
            <rFont val="Tahoma"/>
            <family val="2"/>
            <charset val="238"/>
          </rPr>
          <t>dříve okres RK</t>
        </r>
      </text>
    </comment>
    <comment ref="BC146" authorId="0" shapeId="0">
      <text>
        <r>
          <rPr>
            <b/>
            <sz val="9"/>
            <color indexed="81"/>
            <rFont val="Tahoma"/>
            <family val="2"/>
            <charset val="238"/>
          </rPr>
          <t>předchozí z roku 1995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F146" authorId="0" shapeId="0">
      <text>
        <r>
          <rPr>
            <b/>
            <sz val="9"/>
            <color indexed="81"/>
            <rFont val="Tahoma"/>
            <family val="2"/>
            <charset val="238"/>
          </rPr>
          <t>2010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147" authorId="0" shapeId="0">
      <text>
        <r>
          <rPr>
            <b/>
            <sz val="9"/>
            <color indexed="81"/>
            <rFont val="Tahoma"/>
            <family val="2"/>
            <charset val="238"/>
          </rPr>
          <t>2014 a 2015 neúspěšně</t>
        </r>
      </text>
    </comment>
    <comment ref="BC147" authorId="0" shapeId="0">
      <text>
        <r>
          <rPr>
            <b/>
            <sz val="9"/>
            <color indexed="81"/>
            <rFont val="Tahoma"/>
            <family val="2"/>
            <charset val="238"/>
          </rPr>
          <t>předchozí z roku 2000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D147" authorId="0" shapeId="0">
      <text>
        <r>
          <rPr>
            <b/>
            <sz val="9"/>
            <color indexed="81"/>
            <rFont val="Tahoma"/>
            <family val="2"/>
            <charset val="238"/>
          </rPr>
          <t>2010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C148" authorId="0" shapeId="0">
      <text>
        <r>
          <rPr>
            <b/>
            <sz val="9"/>
            <color indexed="81"/>
            <rFont val="Tahoma"/>
            <family val="2"/>
            <charset val="238"/>
          </rPr>
          <t>předchozí z roku 2004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D148" authorId="0" shapeId="0">
      <text>
        <r>
          <rPr>
            <b/>
            <sz val="9"/>
            <color indexed="81"/>
            <rFont val="Tahoma"/>
            <family val="2"/>
            <charset val="238"/>
          </rPr>
          <t>provozovatel je obec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E148" authorId="0" shapeId="0">
      <text>
        <r>
          <rPr>
            <b/>
            <sz val="9"/>
            <color indexed="81"/>
            <rFont val="Tahoma"/>
            <family val="2"/>
            <charset val="238"/>
          </rPr>
          <t>provozovatel je obec</t>
        </r>
      </text>
    </comment>
    <comment ref="U150" authorId="0" shapeId="0">
      <text>
        <r>
          <rPr>
            <b/>
            <sz val="9"/>
            <color indexed="81"/>
            <rFont val="Tahoma"/>
            <family val="2"/>
            <charset val="238"/>
          </rPr>
          <t>neúspěšně 2014, 2015, 2016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150" authorId="0" shapeId="0">
      <text>
        <r>
          <rPr>
            <b/>
            <sz val="9"/>
            <color indexed="81"/>
            <rFont val="Tahoma"/>
            <family val="2"/>
            <charset val="238"/>
          </rPr>
          <t>neśpěšné žádosti</t>
        </r>
      </text>
    </comment>
    <comment ref="AD151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</text>
    </comment>
    <comment ref="BD156" authorId="0" shapeId="0">
      <text>
        <r>
          <rPr>
            <b/>
            <sz val="9"/>
            <color indexed="81"/>
            <rFont val="Tahoma"/>
            <family val="2"/>
            <charset val="238"/>
          </rPr>
          <t>provozovatel je obec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K15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vesnická málotřídní škola s pěti postupnými ročníky ve dvou třídách. </t>
        </r>
      </text>
    </comment>
    <comment ref="K157" authorId="0" shapeId="0">
      <text>
        <r>
          <rPr>
            <b/>
            <sz val="9"/>
            <color indexed="81"/>
            <rFont val="Tahoma"/>
            <family val="2"/>
            <charset val="238"/>
          </rPr>
          <t>a obec.kohoutov@quick.cz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157" authorId="0" shapeId="0">
      <text>
        <r>
          <rPr>
            <sz val="9"/>
            <color indexed="81"/>
            <rFont val="Tahoma"/>
            <family val="2"/>
            <charset val="238"/>
          </rPr>
          <t>2015 neúspěšně</t>
        </r>
      </text>
    </comment>
    <comment ref="P158" authorId="0" shapeId="0">
      <text>
        <r>
          <rPr>
            <b/>
            <sz val="9"/>
            <color indexed="81"/>
            <rFont val="Tahoma"/>
            <family val="2"/>
            <charset val="238"/>
          </rPr>
          <t>607 679 584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59" authorId="0" shapeId="0">
      <text>
        <r>
          <rPr>
            <b/>
            <sz val="9"/>
            <color indexed="81"/>
            <rFont val="Tahoma"/>
            <family val="2"/>
            <charset val="238"/>
          </rPr>
          <t>podatelna@kopidlno.cz</t>
        </r>
      </text>
    </comment>
    <comment ref="P161" authorId="0" shapeId="0">
      <text>
        <r>
          <rPr>
            <b/>
            <sz val="9"/>
            <color indexed="81"/>
            <rFont val="Tahoma"/>
            <family val="2"/>
            <charset val="238"/>
          </rPr>
          <t>724 179 728</t>
        </r>
      </text>
    </comment>
    <comment ref="BC161" authorId="0" shapeId="0">
      <text>
        <r>
          <rPr>
            <b/>
            <sz val="9"/>
            <color indexed="81"/>
            <rFont val="Tahoma"/>
            <family val="2"/>
            <charset val="238"/>
          </rPr>
          <t>předchozí z roku 2005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162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</text>
    </comment>
    <comment ref="BL162" authorId="0" shapeId="0">
      <text>
        <r>
          <rPr>
            <b/>
            <sz val="9"/>
            <color indexed="81"/>
            <rFont val="Tahoma"/>
            <charset val="1"/>
          </rPr>
          <t>SDH Dolany - Kostelec</t>
        </r>
      </text>
    </comment>
    <comment ref="P164" authorId="0" shapeId="0">
      <text>
        <r>
          <rPr>
            <b/>
            <sz val="9"/>
            <color indexed="81"/>
            <rFont val="Tahoma"/>
            <family val="2"/>
            <charset val="238"/>
          </rPr>
          <t>774 059 515</t>
        </r>
      </text>
    </comment>
    <comment ref="C165" authorId="0" shapeId="0">
      <text>
        <r>
          <rPr>
            <b/>
            <sz val="9"/>
            <color indexed="81"/>
            <rFont val="Tahoma"/>
            <family val="2"/>
            <charset val="238"/>
          </rPr>
          <t>u Dobrušky</t>
        </r>
      </text>
    </comment>
    <comment ref="AL166" authorId="0" shapeId="0">
      <text>
        <r>
          <rPr>
            <b/>
            <sz val="9"/>
            <color indexed="81"/>
            <rFont val="Tahoma"/>
            <charset val="1"/>
          </rPr>
          <t>...Dnes má obec 135  obyvatel a  62 domů, z nichž 17 je využíváno pro rekreaci.</t>
        </r>
      </text>
    </comment>
    <comment ref="AN166" authorId="0" shapeId="0">
      <text>
        <r>
          <rPr>
            <b/>
            <sz val="9"/>
            <color indexed="81"/>
            <rFont val="Tahoma"/>
            <charset val="1"/>
          </rPr>
          <t>...Dnes má obec 135  obyvatel a  62 domů, z nichž 17 je využíváno pro rekreaci.</t>
        </r>
      </text>
    </comment>
    <comment ref="K167" authorId="0" shapeId="0">
      <text>
        <r>
          <rPr>
            <b/>
            <sz val="9"/>
            <color indexed="81"/>
            <rFont val="Tahoma"/>
            <family val="2"/>
            <charset val="238"/>
          </rPr>
          <t>ou.kozojedy@tiscali.cz</t>
        </r>
      </text>
    </comment>
    <comment ref="U170" authorId="0" shapeId="0">
      <text>
        <r>
          <rPr>
            <sz val="9"/>
            <color indexed="81"/>
            <rFont val="Tahoma"/>
            <family val="2"/>
            <charset val="238"/>
          </rPr>
          <t xml:space="preserve">2014 neúspěšně
</t>
        </r>
      </text>
    </comment>
    <comment ref="P172" authorId="0" shapeId="0">
      <text>
        <r>
          <rPr>
            <b/>
            <sz val="9"/>
            <color indexed="81"/>
            <rFont val="Tahoma"/>
            <family val="2"/>
            <charset val="238"/>
          </rPr>
          <t>608 962 561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N175" authorId="0" shapeId="0">
      <text>
        <r>
          <rPr>
            <b/>
            <sz val="9"/>
            <color indexed="81"/>
            <rFont val="Tahoma"/>
            <family val="2"/>
            <charset val="238"/>
          </rPr>
          <t>fotbalové, volejbalové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179" authorId="0" shapeId="0">
      <text>
        <r>
          <rPr>
            <b/>
            <sz val="9"/>
            <color indexed="81"/>
            <rFont val="Tahoma"/>
            <family val="2"/>
            <charset val="238"/>
          </rPr>
          <t>2014 neúspěšně</t>
        </r>
      </text>
    </comment>
    <comment ref="AL179" authorId="0" shapeId="0">
      <text>
        <r>
          <rPr>
            <b/>
            <sz val="9"/>
            <color indexed="81"/>
            <rFont val="Tahoma"/>
            <charset val="1"/>
          </rPr>
          <t>… 58 trvale žijících obyvatel v 16 domech vedených k trvalému bydlení. V obci se dále nachází 44 objektů určených k individuální rekreaci (132 osob)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N179" authorId="0" shapeId="0">
      <text>
        <r>
          <rPr>
            <b/>
            <sz val="9"/>
            <color indexed="81"/>
            <rFont val="Tahoma"/>
            <charset val="1"/>
          </rPr>
          <t>… 58 trvale žijících obyvatel v 16 domech vedených k trvalému bydlení. V obci se dále nachází 44 objektů určených k individuální rekreaci (132 osob)</t>
        </r>
      </text>
    </comment>
    <comment ref="U180" authorId="0" shapeId="0">
      <text>
        <r>
          <rPr>
            <sz val="9"/>
            <color indexed="81"/>
            <rFont val="Tahoma"/>
            <family val="2"/>
            <charset val="238"/>
          </rPr>
          <t xml:space="preserve">dosud nežádali
</t>
        </r>
      </text>
    </comment>
    <comment ref="F184" authorId="0" shapeId="0">
      <text>
        <r>
          <rPr>
            <b/>
            <sz val="9"/>
            <color indexed="81"/>
            <rFont val="Tahoma"/>
            <family val="2"/>
            <charset val="238"/>
          </rPr>
          <t>dříve okres RK</t>
        </r>
      </text>
    </comment>
    <comment ref="U184" authorId="0" shapeId="0">
      <text>
        <r>
          <rPr>
            <b/>
            <sz val="9"/>
            <color indexed="81"/>
            <rFont val="Tahoma"/>
            <family val="2"/>
            <charset val="238"/>
          </rPr>
          <t>neúspěšně 2014, 2015, 2016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N187" authorId="0" shapeId="0">
      <text>
        <r>
          <rPr>
            <b/>
            <sz val="9"/>
            <color indexed="81"/>
            <rFont val="Tahoma"/>
            <family val="2"/>
            <charset val="238"/>
          </rPr>
          <t>víceúčelové hřiště</t>
        </r>
      </text>
    </comment>
    <comment ref="C188" authorId="0" shapeId="0">
      <text>
        <r>
          <rPr>
            <b/>
            <sz val="9"/>
            <color indexed="81"/>
            <rFont val="Tahoma"/>
            <family val="2"/>
            <charset val="238"/>
          </rPr>
          <t>Lhoty = Malá + Velká Lhota</t>
        </r>
      </text>
    </comment>
    <comment ref="K190" authorId="0" shapeId="0">
      <text>
        <r>
          <rPr>
            <b/>
            <sz val="9"/>
            <color indexed="81"/>
            <rFont val="Tahoma"/>
            <family val="2"/>
            <charset val="238"/>
          </rPr>
          <t>obec.libcany@worldonline.cz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91" authorId="0" shapeId="0">
      <text>
        <r>
          <rPr>
            <b/>
            <sz val="9"/>
            <color indexed="81"/>
            <rFont val="Tahoma"/>
            <family val="2"/>
            <charset val="238"/>
          </rPr>
          <t>724 183 415</t>
        </r>
      </text>
    </comment>
    <comment ref="AD193" authorId="0" shapeId="0">
      <text>
        <r>
          <rPr>
            <sz val="9"/>
            <color indexed="81"/>
            <rFont val="Tahoma"/>
            <family val="2"/>
            <charset val="238"/>
          </rPr>
          <t>dosud nežádali</t>
        </r>
      </text>
    </comment>
    <comment ref="K194" authorId="0" shapeId="0">
      <text>
        <r>
          <rPr>
            <b/>
            <sz val="9"/>
            <color indexed="81"/>
            <rFont val="Tahoma"/>
            <family val="2"/>
            <charset val="238"/>
          </rPr>
          <t>obec.libnatov@worldonline.cz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97" authorId="0" shapeId="0">
      <text>
        <r>
          <rPr>
            <b/>
            <sz val="9"/>
            <color indexed="81"/>
            <rFont val="Tahoma"/>
            <family val="2"/>
            <charset val="238"/>
          </rPr>
          <t>a  obec.libotov@worldonline.cz</t>
        </r>
      </text>
    </comment>
    <comment ref="U197" authorId="0" shapeId="0">
      <text>
        <r>
          <rPr>
            <sz val="9"/>
            <color indexed="81"/>
            <rFont val="Tahoma"/>
            <family val="2"/>
            <charset val="238"/>
          </rPr>
          <t xml:space="preserve">2014 neúspěšně
</t>
        </r>
      </text>
    </comment>
    <comment ref="BD197" authorId="0" shapeId="0">
      <text>
        <r>
          <rPr>
            <b/>
            <sz val="9"/>
            <color indexed="81"/>
            <rFont val="Tahoma"/>
            <family val="2"/>
            <charset val="238"/>
          </rPr>
          <t>2016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199" authorId="0" shapeId="0">
      <text>
        <r>
          <rPr>
            <b/>
            <sz val="9"/>
            <color indexed="81"/>
            <rFont val="Tahoma"/>
            <family val="2"/>
            <charset val="238"/>
          </rPr>
          <t>2014 a 2015 neúspěšné žádosti</t>
        </r>
      </text>
    </comment>
    <comment ref="BC199" authorId="0" shapeId="0">
      <text>
        <r>
          <rPr>
            <b/>
            <sz val="9"/>
            <color indexed="81"/>
            <rFont val="Tahoma"/>
            <family val="2"/>
            <charset val="238"/>
          </rPr>
          <t>původní z 2005</t>
        </r>
      </text>
    </comment>
    <comment ref="AD201" authorId="0" shapeId="0">
      <text>
        <r>
          <rPr>
            <sz val="9"/>
            <color indexed="81"/>
            <rFont val="Tahoma"/>
            <family val="2"/>
            <charset val="238"/>
          </rPr>
          <t xml:space="preserve">2011 naposledy a neúspěšně
</t>
        </r>
      </text>
    </comment>
    <comment ref="AD204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</text>
    </comment>
    <comment ref="K20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 posta@lodin.obecni-urad.org </t>
        </r>
      </text>
    </comment>
    <comment ref="C209" authorId="0" shapeId="0">
      <text>
        <r>
          <rPr>
            <b/>
            <sz val="9"/>
            <color indexed="81"/>
            <rFont val="Tahoma"/>
            <family val="2"/>
            <charset val="238"/>
          </rPr>
          <t>u Nového Bydžova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13" authorId="0" shapeId="0">
      <text>
        <r>
          <rPr>
            <b/>
            <sz val="9"/>
            <color indexed="81"/>
            <rFont val="Tahoma"/>
            <family val="2"/>
            <charset val="238"/>
          </rPr>
          <t>nad Trotinou</t>
        </r>
      </text>
    </comment>
    <comment ref="C214" authorId="0" shapeId="0">
      <text>
        <r>
          <rPr>
            <b/>
            <sz val="9"/>
            <color indexed="81"/>
            <rFont val="Tahoma"/>
            <family val="2"/>
            <charset val="238"/>
          </rPr>
          <t>u Jičína</t>
        </r>
      </text>
    </comment>
    <comment ref="U215" authorId="0" shapeId="0">
      <text>
        <r>
          <rPr>
            <b/>
            <sz val="9"/>
            <color indexed="81"/>
            <rFont val="Tahoma"/>
            <family val="2"/>
            <charset val="238"/>
          </rPr>
          <t>2014 neúspěšně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16" authorId="0" shapeId="0">
      <text>
        <r>
          <rPr>
            <b/>
            <sz val="9"/>
            <color indexed="81"/>
            <rFont val="Tahoma"/>
            <family val="2"/>
            <charset val="238"/>
          </rPr>
          <t>ou.machov@worldonline.cz</t>
        </r>
      </text>
    </comment>
    <comment ref="BK217" authorId="0" shapeId="0">
      <text>
        <r>
          <rPr>
            <b/>
            <sz val="9"/>
            <color indexed="81"/>
            <rFont val="Tahoma"/>
            <family val="2"/>
            <charset val="238"/>
          </rPr>
          <t>http://www.ceskatelevize.cz/ct24/regiony/1077637-novy-skolni-rok-prinesl-i-konec-nejvyse-polozene-malotridky-v-cechach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19" authorId="0" shapeId="0">
      <text>
        <r>
          <rPr>
            <b/>
            <sz val="9"/>
            <color indexed="81"/>
            <rFont val="Tahoma"/>
            <family val="2"/>
            <charset val="238"/>
          </rPr>
          <t>u Sobotky</t>
        </r>
      </text>
    </comment>
    <comment ref="AD220" authorId="0" shapeId="0">
      <text>
        <r>
          <rPr>
            <sz val="9"/>
            <color indexed="81"/>
            <rFont val="Tahoma"/>
            <family val="2"/>
            <charset val="238"/>
          </rPr>
          <t>od 2012 nežádali</t>
        </r>
      </text>
    </comment>
    <comment ref="AD221" authorId="0" shapeId="0">
      <text>
        <r>
          <rPr>
            <b/>
            <sz val="9"/>
            <color indexed="81"/>
            <rFont val="Tahoma"/>
            <family val="2"/>
            <charset val="238"/>
          </rPr>
          <t>jen Čistá obec…
krajské progarmy zatím nežádali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E221" authorId="0" shapeId="0">
      <text>
        <r>
          <rPr>
            <b/>
            <sz val="9"/>
            <color indexed="81"/>
            <rFont val="Tahoma"/>
            <family val="2"/>
            <charset val="238"/>
          </rPr>
          <t>2015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224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</text>
    </comment>
    <comment ref="U225" authorId="0" shapeId="0">
      <text>
        <r>
          <rPr>
            <b/>
            <sz val="9"/>
            <color indexed="81"/>
            <rFont val="Tahoma"/>
            <family val="2"/>
            <charset val="238"/>
          </rPr>
          <t>2014 a 2015 neúspěšně</t>
        </r>
      </text>
    </comment>
    <comment ref="BK228" authorId="0" shapeId="0">
      <text>
        <r>
          <rPr>
            <b/>
            <sz val="9"/>
            <color indexed="81"/>
            <rFont val="Tahoma"/>
            <family val="2"/>
            <charset val="238"/>
          </rPr>
          <t>dvojtřídní, 20-42 žáků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30" authorId="0" shapeId="0">
      <text>
        <r>
          <rPr>
            <b/>
            <sz val="9"/>
            <color indexed="81"/>
            <rFont val="Tahoma"/>
            <family val="2"/>
            <charset val="238"/>
          </rPr>
          <t>v Čechách</t>
        </r>
      </text>
    </comment>
    <comment ref="P233" authorId="0" shapeId="0">
      <text>
        <r>
          <rPr>
            <b/>
            <sz val="9"/>
            <color indexed="81"/>
            <rFont val="Tahoma"/>
            <family val="2"/>
            <charset val="238"/>
          </rPr>
          <t>737 723 954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237" authorId="0" shapeId="0">
      <text>
        <r>
          <rPr>
            <b/>
            <sz val="9"/>
            <color indexed="81"/>
            <rFont val="Tahoma"/>
            <family val="2"/>
            <charset val="238"/>
          </rPr>
          <t>2014 neúspěšně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C238" authorId="0" shapeId="0">
      <text>
        <r>
          <rPr>
            <b/>
            <sz val="9"/>
            <color indexed="81"/>
            <rFont val="Tahoma"/>
            <family val="2"/>
            <charset val="238"/>
          </rPr>
          <t>tvoří se nový</t>
        </r>
      </text>
    </comment>
    <comment ref="BC240" authorId="0" shapeId="0">
      <text>
        <r>
          <rPr>
            <b/>
            <sz val="9"/>
            <color indexed="81"/>
            <rFont val="Tahoma"/>
            <family val="2"/>
            <charset val="238"/>
          </rPr>
          <t>předchozí z 2003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42" authorId="0" shapeId="0">
      <text>
        <r>
          <rPr>
            <b/>
            <sz val="9"/>
            <color indexed="81"/>
            <rFont val="Tahoma"/>
            <family val="2"/>
            <charset val="238"/>
          </rPr>
          <t>u Dvora Králové n.L.</t>
        </r>
      </text>
    </comment>
    <comment ref="BE242" authorId="0" shapeId="0">
      <text>
        <r>
          <rPr>
            <b/>
            <sz val="9"/>
            <color indexed="81"/>
            <rFont val="Tahoma"/>
            <family val="2"/>
            <charset val="238"/>
          </rPr>
          <t>2015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F242" authorId="0" shapeId="0">
      <text>
        <r>
          <rPr>
            <b/>
            <sz val="9"/>
            <color indexed="81"/>
            <rFont val="Tahoma"/>
            <family val="2"/>
            <charset val="238"/>
          </rPr>
          <t>2015</t>
        </r>
      </text>
    </comment>
    <comment ref="BD243" authorId="0" shapeId="0">
      <text>
        <r>
          <rPr>
            <b/>
            <sz val="9"/>
            <color indexed="81"/>
            <rFont val="Tahoma"/>
            <family val="2"/>
            <charset val="238"/>
          </rPr>
          <t>2010</t>
        </r>
      </text>
    </comment>
    <comment ref="BC247" authorId="0" shapeId="0">
      <text>
        <r>
          <rPr>
            <b/>
            <sz val="9"/>
            <color indexed="81"/>
            <rFont val="Tahoma"/>
            <family val="2"/>
            <charset val="238"/>
          </rPr>
          <t>předchozí z 2006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252" authorId="0" shapeId="0">
      <text>
        <r>
          <rPr>
            <b/>
            <sz val="9"/>
            <color indexed="81"/>
            <rFont val="Tahoma"/>
            <family val="2"/>
            <charset val="238"/>
          </rPr>
          <t>2011 naposled úspěšně</t>
        </r>
      </text>
    </comment>
    <comment ref="BF253" authorId="0" shapeId="0">
      <text>
        <r>
          <rPr>
            <b/>
            <sz val="9"/>
            <color indexed="81"/>
            <rFont val="Tahoma"/>
            <family val="2"/>
            <charset val="238"/>
          </rPr>
          <t>2015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254" authorId="0" shapeId="0">
      <text>
        <r>
          <rPr>
            <b/>
            <sz val="9"/>
            <color indexed="81"/>
            <rFont val="Tahoma"/>
            <family val="2"/>
            <charset val="238"/>
          </rPr>
          <t>605 062 350</t>
        </r>
      </text>
    </comment>
    <comment ref="K257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obec@ohnisov.cz </t>
        </r>
      </text>
    </comment>
    <comment ref="C260" authorId="0" shapeId="0">
      <text>
        <r>
          <rPr>
            <b/>
            <sz val="9"/>
            <color indexed="81"/>
            <rFont val="Tahoma"/>
            <family val="2"/>
            <charset val="238"/>
          </rPr>
          <t>u Rychnova nad Kněžnou</t>
        </r>
      </text>
    </comment>
    <comment ref="U260" authorId="0" shapeId="0">
      <text>
        <r>
          <rPr>
            <sz val="9"/>
            <color indexed="81"/>
            <rFont val="Tahoma"/>
            <family val="2"/>
            <charset val="238"/>
          </rPr>
          <t>dosud nežádali</t>
        </r>
      </text>
    </comment>
    <comment ref="BC267" authorId="0" shapeId="0">
      <text>
        <r>
          <rPr>
            <b/>
            <sz val="9"/>
            <color indexed="81"/>
            <rFont val="Tahoma"/>
            <family val="2"/>
            <charset val="238"/>
          </rPr>
          <t>předchozí z 2004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C269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tvoří se nový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70" authorId="0" shapeId="0">
      <text>
        <r>
          <rPr>
            <b/>
            <sz val="9"/>
            <color indexed="81"/>
            <rFont val="Tahoma"/>
            <family val="2"/>
            <charset val="238"/>
          </rPr>
          <t>u Broumova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270" authorId="0" shapeId="0">
      <text>
        <r>
          <rPr>
            <b/>
            <sz val="9"/>
            <color indexed="81"/>
            <rFont val="Tahoma"/>
            <family val="2"/>
            <charset val="238"/>
          </rPr>
          <t>žádali vždy jen v POV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E270" authorId="0" shapeId="0">
      <text>
        <r>
          <rPr>
            <b/>
            <sz val="9"/>
            <color indexed="81"/>
            <rFont val="Tahoma"/>
            <family val="2"/>
            <charset val="238"/>
          </rPr>
          <t>2014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F270" authorId="0" shapeId="0">
      <text>
        <r>
          <rPr>
            <b/>
            <sz val="9"/>
            <color indexed="81"/>
            <rFont val="Tahoma"/>
            <family val="2"/>
            <charset val="238"/>
          </rPr>
          <t>2014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73" authorId="0" shapeId="0">
      <text>
        <r>
          <rPr>
            <b/>
            <sz val="9"/>
            <color indexed="81"/>
            <rFont val="Tahoma"/>
            <family val="2"/>
            <charset val="238"/>
          </rPr>
          <t>u Rychnova nad Kněžnou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74" authorId="0" shapeId="0">
      <text>
        <r>
          <rPr>
            <b/>
            <sz val="9"/>
            <color indexed="81"/>
            <rFont val="Tahoma"/>
            <family val="2"/>
            <charset val="238"/>
          </rPr>
          <t>u Nového Bydžova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275" authorId="0" shapeId="0">
      <text>
        <r>
          <rPr>
            <b/>
            <sz val="9"/>
            <color indexed="81"/>
            <rFont val="Tahoma"/>
            <family val="2"/>
            <charset val="238"/>
          </rPr>
          <t>739 418 657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D275" authorId="0" shapeId="0">
      <text>
        <r>
          <rPr>
            <b/>
            <sz val="9"/>
            <color indexed="81"/>
            <rFont val="Tahoma"/>
            <family val="2"/>
            <charset val="238"/>
          </rPr>
          <t>2014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276" authorId="0" shapeId="0">
      <text>
        <r>
          <rPr>
            <sz val="9"/>
            <color indexed="81"/>
            <rFont val="Tahoma"/>
            <family val="2"/>
            <charset val="238"/>
          </rPr>
          <t xml:space="preserve">2014 neúspěšně
</t>
        </r>
      </text>
    </comment>
    <comment ref="AD277" authorId="0" shapeId="0">
      <text>
        <r>
          <rPr>
            <b/>
            <sz val="9"/>
            <color indexed="81"/>
            <rFont val="Tahoma"/>
            <family val="2"/>
            <charset val="238"/>
          </rPr>
          <t>2011 naposledy žádali</t>
        </r>
      </text>
    </comment>
    <comment ref="BD280" authorId="0" shapeId="0">
      <text>
        <r>
          <rPr>
            <b/>
            <sz val="9"/>
            <color indexed="81"/>
            <rFont val="Tahoma"/>
            <family val="2"/>
            <charset val="238"/>
          </rPr>
          <t>V místních částech městyse Čejkovice, Šlikova Ves a Podhradí je zaveden plyn a vodovod.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H280" authorId="0" shapeId="0">
      <text>
        <r>
          <rPr>
            <b/>
            <sz val="9"/>
            <color indexed="81"/>
            <rFont val="Tahoma"/>
            <family val="2"/>
            <charset val="238"/>
          </rPr>
          <t>V místních částech městyse Čejkovice, Šlikova Ves a Podhradí je zaveden plyn a vodovod.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N280" authorId="0" shapeId="0">
      <text>
        <r>
          <rPr>
            <b/>
            <sz val="9"/>
            <color indexed="81"/>
            <rFont val="Tahoma"/>
            <family val="2"/>
            <charset val="238"/>
          </rPr>
          <t>Pro sportovní vyžití občanů slouží fotbalové hřiště na Podhradí a ve Šlikově Vsi víceúčelové sportoviště.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C281" authorId="0" shapeId="0">
      <text>
        <r>
          <rPr>
            <b/>
            <sz val="9"/>
            <color indexed="81"/>
            <rFont val="Tahoma"/>
            <family val="2"/>
            <charset val="238"/>
          </rPr>
          <t>tvoří se nový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282" authorId="0" shapeId="0">
      <text>
        <r>
          <rPr>
            <sz val="9"/>
            <color indexed="81"/>
            <rFont val="Tahoma"/>
            <family val="2"/>
            <charset val="238"/>
          </rPr>
          <t xml:space="preserve">2014 a 2015 neúspěšně
</t>
        </r>
      </text>
    </comment>
    <comment ref="U286" authorId="0" shapeId="0">
      <text>
        <r>
          <rPr>
            <b/>
            <sz val="9"/>
            <color indexed="81"/>
            <rFont val="Tahoma"/>
            <family val="2"/>
            <charset val="238"/>
          </rPr>
          <t>neúspěšně 2014, 2015, 2016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288" authorId="0" shapeId="0">
      <text>
        <r>
          <rPr>
            <sz val="9"/>
            <color indexed="81"/>
            <rFont val="Tahoma"/>
            <family val="2"/>
            <charset val="238"/>
          </rPr>
          <t xml:space="preserve">2014 a 2015 neúspěšně
</t>
        </r>
      </text>
    </comment>
    <comment ref="D290" authorId="0" shapeId="0">
      <text>
        <r>
          <rPr>
            <sz val="9"/>
            <color indexed="81"/>
            <rFont val="Tahoma"/>
            <family val="2"/>
            <charset val="238"/>
          </rPr>
          <t xml:space="preserve">Šonov u Nového Města nad Metují
</t>
        </r>
      </text>
    </comment>
    <comment ref="AD291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</text>
    </comment>
    <comment ref="AD293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</text>
    </comment>
    <comment ref="AD294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</text>
    </comment>
    <comment ref="AD298" authorId="0" shapeId="0">
      <text>
        <r>
          <rPr>
            <b/>
            <sz val="9"/>
            <color indexed="81"/>
            <rFont val="Tahoma"/>
            <family val="2"/>
            <charset val="238"/>
          </rPr>
          <t>2011 naposledy</t>
        </r>
      </text>
    </comment>
    <comment ref="C299" authorId="0" shapeId="0">
      <text>
        <r>
          <rPr>
            <b/>
            <sz val="9"/>
            <color indexed="81"/>
            <rFont val="Tahoma"/>
            <family val="2"/>
            <charset val="238"/>
          </rPr>
          <t>u Jičína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300" authorId="0" shapeId="0">
      <text>
        <r>
          <rPr>
            <b/>
            <sz val="9"/>
            <color indexed="81"/>
            <rFont val="Tahoma"/>
            <family val="2"/>
            <charset val="238"/>
          </rPr>
          <t>2011 naposledy</t>
        </r>
      </text>
    </comment>
    <comment ref="C301" authorId="0" shapeId="0">
      <text>
        <r>
          <rPr>
            <b/>
            <sz val="9"/>
            <color indexed="81"/>
            <rFont val="Tahoma"/>
            <family val="2"/>
            <charset val="238"/>
          </rPr>
          <t>v Čechách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302" authorId="0" shapeId="0">
      <text>
        <r>
          <rPr>
            <b/>
            <sz val="9"/>
            <color indexed="81"/>
            <rFont val="Tahoma"/>
            <family val="2"/>
            <charset val="238"/>
          </rPr>
          <t>2015 a 2016 neúspěšně</t>
        </r>
      </text>
    </comment>
    <comment ref="BC302" authorId="0" shapeId="0">
      <text>
        <r>
          <rPr>
            <b/>
            <sz val="9"/>
            <color indexed="81"/>
            <rFont val="Tahoma"/>
            <family val="2"/>
            <charset val="238"/>
          </rPr>
          <t>tvoří se nový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303" authorId="0" shapeId="0">
      <text>
        <r>
          <rPr>
            <b/>
            <sz val="9"/>
            <color indexed="81"/>
            <rFont val="Tahoma"/>
            <family val="2"/>
            <charset val="238"/>
          </rPr>
          <t>2014 neúspěšně</t>
        </r>
      </text>
    </comment>
    <comment ref="BJ305" authorId="0" shapeId="0">
      <text>
        <r>
          <rPr>
            <b/>
            <sz val="9"/>
            <color indexed="81"/>
            <rFont val="Tahoma"/>
            <family val="2"/>
            <charset val="238"/>
          </rPr>
          <t>www.msrohoznice.cz 
kapacita 25</t>
        </r>
      </text>
    </comment>
    <comment ref="X306" authorId="0" shapeId="0">
      <text>
        <r>
          <rPr>
            <b/>
            <sz val="9"/>
            <color indexed="81"/>
            <rFont val="Tahoma"/>
            <family val="2"/>
            <charset val="238"/>
          </rPr>
          <t>2011 naposledy</t>
        </r>
      </text>
    </comment>
    <comment ref="BC309" authorId="0" shapeId="0">
      <text>
        <r>
          <rPr>
            <b/>
            <sz val="9"/>
            <color indexed="81"/>
            <rFont val="Tahoma"/>
            <family val="2"/>
            <charset val="238"/>
          </rPr>
          <t>tvoří se nový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F309" authorId="0" shapeId="0">
      <text>
        <r>
          <rPr>
            <b/>
            <sz val="9"/>
            <color indexed="81"/>
            <rFont val="Tahoma"/>
            <family val="2"/>
            <charset val="238"/>
          </rPr>
          <t>2015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11" authorId="0" shapeId="0">
      <text>
        <r>
          <rPr>
            <b/>
            <sz val="9"/>
            <color indexed="81"/>
            <rFont val="Tahoma"/>
            <family val="2"/>
            <charset val="238"/>
          </rPr>
          <t>u Vrchlabí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L311" authorId="0" shapeId="0">
      <text>
        <r>
          <rPr>
            <b/>
            <sz val="9"/>
            <color indexed="81"/>
            <rFont val="Tahoma"/>
            <family val="2"/>
            <charset val="238"/>
          </rPr>
          <t>Arnultovice</t>
        </r>
      </text>
    </comment>
    <comment ref="BK314" authorId="0" shapeId="0">
      <text>
        <r>
          <rPr>
            <b/>
            <sz val="9"/>
            <color indexed="81"/>
            <rFont val="Tahoma"/>
            <family val="2"/>
            <charset val="238"/>
          </rPr>
          <t>...V letošním školním roce 2016/2017 máme žáků 28. Výuka probíhá ve dvou třídách. Třída I. R čítá 16 žáků prvního (7 dětí) a třetího (9 dětí) ročníku. Třída II. R pak spojuje žáky druhého (4 děti) a čtvrtého (8 dětí) ročníku v počtu 12 žáků...</t>
        </r>
      </text>
    </comment>
    <comment ref="BN314" authorId="0" shapeId="0">
      <text>
        <r>
          <rPr>
            <b/>
            <sz val="9"/>
            <color indexed="81"/>
            <rFont val="Tahoma"/>
            <family val="2"/>
            <charset val="238"/>
          </rPr>
          <t>3 antukové kurty na tenis, 1 univerzální na volejbal a nohejbal, hřiště na malou kopanou</t>
        </r>
      </text>
    </comment>
    <comment ref="BN316" authorId="0" shapeId="0">
      <text>
        <r>
          <rPr>
            <b/>
            <sz val="9"/>
            <color indexed="81"/>
            <rFont val="Tahoma"/>
            <family val="2"/>
            <charset val="238"/>
          </rPr>
          <t>...Pro volnočasové aktivity je obyvatelům k dispozici sportovní hřiště, tenisový kurt a dětské hřiště.</t>
        </r>
      </text>
    </comment>
    <comment ref="BL318" authorId="0" shapeId="0">
      <text>
        <r>
          <rPr>
            <b/>
            <sz val="9"/>
            <color indexed="81"/>
            <rFont val="Tahoma"/>
            <family val="2"/>
            <charset val="238"/>
          </rPr>
          <t>Hubojedy</t>
        </r>
      </text>
    </comment>
    <comment ref="U319" authorId="0" shapeId="0">
      <text>
        <r>
          <rPr>
            <b/>
            <sz val="9"/>
            <color indexed="81"/>
            <rFont val="Tahoma"/>
            <family val="2"/>
            <charset val="238"/>
          </rPr>
          <t>2014 neúspěšně</t>
        </r>
      </text>
    </comment>
    <comment ref="X319" authorId="0" shapeId="0">
      <text>
        <r>
          <rPr>
            <b/>
            <sz val="9"/>
            <color indexed="81"/>
            <rFont val="Tahoma"/>
            <family val="2"/>
            <charset val="238"/>
          </rPr>
          <t>2011 naposled</t>
        </r>
      </text>
    </comment>
    <comment ref="AD320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</text>
    </comment>
    <comment ref="AD322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</text>
    </comment>
    <comment ref="BD322" authorId="0" shapeId="0">
      <text>
        <r>
          <rPr>
            <b/>
            <sz val="9"/>
            <color indexed="81"/>
            <rFont val="Tahoma"/>
            <family val="2"/>
            <charset val="238"/>
          </rPr>
          <t>2011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324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</text>
    </comment>
    <comment ref="AD325" authorId="0" shapeId="0">
      <text>
        <r>
          <rPr>
            <b/>
            <sz val="9"/>
            <color indexed="81"/>
            <rFont val="Tahoma"/>
            <family val="2"/>
            <charset val="238"/>
          </rPr>
          <t>2011 naposledy</t>
        </r>
      </text>
    </comment>
    <comment ref="BJ326" authorId="0" shapeId="0">
      <text>
        <r>
          <rPr>
            <b/>
            <sz val="9"/>
            <color indexed="81"/>
            <rFont val="Tahoma"/>
            <family val="2"/>
            <charset val="238"/>
          </rPr>
          <t>v Číbuzi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327" authorId="0" shapeId="0">
      <text>
        <r>
          <rPr>
            <b/>
            <sz val="9"/>
            <color indexed="81"/>
            <rFont val="Tahoma"/>
            <family val="2"/>
            <charset val="238"/>
          </rPr>
          <t>u Nového Bydžova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N327" authorId="0" shapeId="0">
      <text>
        <r>
          <rPr>
            <b/>
            <sz val="9"/>
            <color indexed="81"/>
            <rFont val="Tahoma"/>
            <family val="2"/>
            <charset val="238"/>
          </rPr>
          <t>Víceúčelové hřiště - pro tenis, volejbal a nohejbal, případně malou kopanou</t>
        </r>
      </text>
    </comment>
    <comment ref="U330" authorId="0" shapeId="0">
      <text>
        <r>
          <rPr>
            <sz val="9"/>
            <color indexed="81"/>
            <rFont val="Tahoma"/>
            <family val="2"/>
            <charset val="238"/>
          </rPr>
          <t xml:space="preserve">dosud nežádala
</t>
        </r>
      </text>
    </comment>
    <comment ref="BD331" authorId="0" shapeId="0">
      <text>
        <r>
          <rPr>
            <b/>
            <sz val="9"/>
            <color indexed="81"/>
            <rFont val="Tahoma"/>
            <family val="2"/>
            <charset val="238"/>
          </rPr>
          <t>2015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339" authorId="0" shapeId="0">
      <text>
        <r>
          <rPr>
            <sz val="9"/>
            <color indexed="81"/>
            <rFont val="Tahoma"/>
            <family val="2"/>
            <charset val="238"/>
          </rPr>
          <t xml:space="preserve">dosud nežádali
</t>
        </r>
      </text>
    </comment>
    <comment ref="BD340" authorId="0" shapeId="0">
      <text>
        <r>
          <rPr>
            <b/>
            <sz val="9"/>
            <color indexed="81"/>
            <rFont val="Tahoma"/>
            <family val="2"/>
            <charset val="238"/>
          </rPr>
          <t>2016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345" authorId="0" shapeId="0">
      <text>
        <r>
          <rPr>
            <sz val="9"/>
            <color indexed="81"/>
            <rFont val="Tahoma"/>
            <family val="2"/>
            <charset val="238"/>
          </rPr>
          <t xml:space="preserve">dosud nežádali
</t>
        </r>
      </text>
    </comment>
    <comment ref="AD347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</text>
    </comment>
    <comment ref="AD349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</text>
    </comment>
    <comment ref="BD350" authorId="0" shapeId="0">
      <text>
        <r>
          <rPr>
            <b/>
            <sz val="9"/>
            <color indexed="81"/>
            <rFont val="Tahoma"/>
            <family val="2"/>
            <charset val="238"/>
          </rPr>
          <t>2011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352" authorId="0" shapeId="0">
      <text>
        <r>
          <rPr>
            <b/>
            <sz val="9"/>
            <color indexed="81"/>
            <rFont val="Tahoma"/>
            <family val="2"/>
            <charset val="238"/>
          </rPr>
          <t>605 927 388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352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</text>
    </comment>
    <comment ref="C359" authorId="0" shapeId="0">
      <text>
        <r>
          <rPr>
            <b/>
            <sz val="9"/>
            <color indexed="81"/>
            <rFont val="Tahoma"/>
            <family val="2"/>
            <charset val="238"/>
          </rPr>
          <t>u Náchoda</t>
        </r>
      </text>
    </comment>
    <comment ref="AD363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</text>
    </comment>
    <comment ref="U364" authorId="0" shapeId="0">
      <text>
        <r>
          <rPr>
            <b/>
            <sz val="9"/>
            <color indexed="81"/>
            <rFont val="Tahoma"/>
            <family val="2"/>
            <charset val="238"/>
          </rPr>
          <t>2014 neúspěšně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E368" authorId="0" shapeId="0">
      <text>
        <r>
          <rPr>
            <b/>
            <sz val="9"/>
            <color indexed="81"/>
            <rFont val="Tahoma"/>
            <family val="2"/>
            <charset val="238"/>
          </rPr>
          <t>2011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370" authorId="0" shapeId="0">
      <text>
        <r>
          <rPr>
            <b/>
            <sz val="9"/>
            <color indexed="81"/>
            <rFont val="Tahoma"/>
            <family val="2"/>
            <charset val="238"/>
          </rPr>
          <t>739 069 725</t>
        </r>
      </text>
    </comment>
    <comment ref="C372" authorId="0" shapeId="0">
      <text>
        <r>
          <rPr>
            <b/>
            <sz val="9"/>
            <color indexed="81"/>
            <rFont val="Tahoma"/>
            <family val="2"/>
            <charset val="238"/>
          </rPr>
          <t>u Broumova</t>
        </r>
      </text>
    </comment>
    <comment ref="N372" authorId="0" shapeId="0">
      <text>
        <r>
          <rPr>
            <b/>
            <sz val="9"/>
            <color indexed="81"/>
            <rFont val="Tahoma"/>
            <family val="2"/>
            <charset val="238"/>
          </rPr>
          <t>zvaný "Drak"</t>
        </r>
      </text>
    </comment>
    <comment ref="E375" authorId="0" shapeId="0">
      <text>
        <r>
          <rPr>
            <b/>
            <sz val="9"/>
            <color indexed="81"/>
            <rFont val="Tahoma"/>
            <family val="2"/>
            <charset val="238"/>
          </rPr>
          <t>od 2009 znovu místní část Libná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C376" authorId="0" shapeId="0">
      <text>
        <r>
          <rPr>
            <sz val="9"/>
            <color indexed="81"/>
            <rFont val="Tahoma"/>
            <family val="2"/>
            <charset val="238"/>
          </rPr>
          <t xml:space="preserve">tvoří se nový
</t>
        </r>
      </text>
    </comment>
    <comment ref="C377" authorId="0" shapeId="0">
      <text>
        <r>
          <rPr>
            <b/>
            <sz val="9"/>
            <color indexed="81"/>
            <rFont val="Tahoma"/>
            <family val="2"/>
            <charset val="238"/>
          </rPr>
          <t>u Dobrušky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378" authorId="0" shapeId="0">
      <text>
        <r>
          <rPr>
            <sz val="9"/>
            <color indexed="81"/>
            <rFont val="Tahoma"/>
            <family val="2"/>
            <charset val="238"/>
          </rPr>
          <t xml:space="preserve">dosud nežádali
</t>
        </r>
      </text>
    </comment>
    <comment ref="BE381" authorId="0" shapeId="0">
      <text>
        <r>
          <rPr>
            <b/>
            <sz val="9"/>
            <color indexed="81"/>
            <rFont val="Tahoma"/>
            <family val="2"/>
            <charset val="238"/>
          </rPr>
          <t>jen povrchová</t>
        </r>
      </text>
    </comment>
    <comment ref="BC383" authorId="0" shapeId="0">
      <text>
        <r>
          <rPr>
            <b/>
            <sz val="9"/>
            <color indexed="81"/>
            <rFont val="Tahoma"/>
            <family val="2"/>
            <charset val="238"/>
          </rPr>
          <t>tvoří se nový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F383" authorId="0" shapeId="0">
      <text>
        <r>
          <rPr>
            <b/>
            <sz val="9"/>
            <color indexed="81"/>
            <rFont val="Tahoma"/>
            <family val="2"/>
            <charset val="238"/>
          </rPr>
          <t>obec udává ano</t>
        </r>
      </text>
    </comment>
    <comment ref="BJ38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Naše jednotřídní mateřská škola je rodinného typu, má kapacitu 25 dětí </t>
        </r>
      </text>
    </comment>
    <comment ref="BN383" authorId="0" shapeId="0">
      <text>
        <r>
          <rPr>
            <b/>
            <sz val="9"/>
            <color indexed="81"/>
            <rFont val="Tahoma"/>
            <family val="2"/>
            <charset val="238"/>
          </rPr>
          <t>...Areál přírodního koupaliště je po celý rok volně přístupný veřejnosti. Nachází se zde dětské hřiště (houpačky, kolotoč, trampolína, pískoviště), hřiště na míčové hry, tobogán a hospůdka s příjemným posezením a obsluhou, která je v provozu po celý rok.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384" authorId="0" shapeId="0">
      <text>
        <r>
          <rPr>
            <b/>
            <sz val="9"/>
            <color indexed="81"/>
            <rFont val="Tahoma"/>
            <family val="2"/>
            <charset val="238"/>
          </rPr>
          <t>2011 naposledy úspěšně, 2013 neúspěšně</t>
        </r>
      </text>
    </comment>
    <comment ref="BC384" authorId="0" shapeId="0">
      <text>
        <r>
          <rPr>
            <b/>
            <sz val="9"/>
            <color indexed="81"/>
            <rFont val="Tahoma"/>
            <family val="2"/>
            <charset val="238"/>
          </rPr>
          <t>předchozí z roku 2005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396" authorId="0" shapeId="0">
      <text>
        <r>
          <rPr>
            <sz val="9"/>
            <color indexed="81"/>
            <rFont val="Tahoma"/>
            <family val="2"/>
            <charset val="238"/>
          </rPr>
          <t>2014 neúspěšně</t>
        </r>
      </text>
    </comment>
    <comment ref="U397" authorId="0" shapeId="0">
      <text>
        <r>
          <rPr>
            <b/>
            <sz val="9"/>
            <color indexed="81"/>
            <rFont val="Tahoma"/>
            <family val="2"/>
            <charset val="238"/>
          </rPr>
          <t>2015 neúspěšně</t>
        </r>
      </text>
    </comment>
    <comment ref="C400" authorId="0" shapeId="0">
      <text>
        <r>
          <rPr>
            <b/>
            <sz val="9"/>
            <color indexed="81"/>
            <rFont val="Tahoma"/>
            <family val="2"/>
            <charset val="238"/>
          </rPr>
          <t>u Jičína</t>
        </r>
      </text>
    </comment>
    <comment ref="BC402" authorId="0" shapeId="0">
      <text>
        <r>
          <rPr>
            <b/>
            <sz val="9"/>
            <color indexed="81"/>
            <rFont val="Tahoma"/>
            <family val="2"/>
            <charset val="238"/>
          </rPr>
          <t>tvoří se nový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405" authorId="0" shapeId="0">
      <text>
        <r>
          <rPr>
            <b/>
            <sz val="9"/>
            <color indexed="81"/>
            <rFont val="Tahoma"/>
            <family val="2"/>
            <charset val="238"/>
          </rPr>
          <t>2014 neúspěšně</t>
        </r>
      </text>
    </comment>
    <comment ref="U410" authorId="0" shapeId="0">
      <text>
        <r>
          <rPr>
            <sz val="9"/>
            <color indexed="81"/>
            <rFont val="Tahoma"/>
            <family val="2"/>
            <charset val="238"/>
          </rPr>
          <t xml:space="preserve">2014 neúspěšně
</t>
        </r>
      </text>
    </comment>
    <comment ref="BC410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předchozí z roku 2006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412" authorId="0" shapeId="0">
      <text>
        <r>
          <rPr>
            <b/>
            <sz val="9"/>
            <color indexed="81"/>
            <rFont val="Tahoma"/>
            <family val="2"/>
            <charset val="238"/>
          </rPr>
          <t>Vítězná - Kocléřov</t>
        </r>
      </text>
    </comment>
    <comment ref="D412" authorId="0" shapeId="0">
      <text>
        <r>
          <rPr>
            <b/>
            <sz val="9"/>
            <color indexed="81"/>
            <rFont val="Tahoma"/>
            <family val="2"/>
            <charset val="238"/>
          </rPr>
          <t>Vítězná je společný název, osada samotná jako místní část neexistuje</t>
        </r>
      </text>
    </comment>
    <comment ref="E412" authorId="0" shapeId="0">
      <text>
        <r>
          <rPr>
            <b/>
            <sz val="9"/>
            <color indexed="81"/>
            <rFont val="Tahoma"/>
            <family val="2"/>
            <charset val="238"/>
          </rPr>
          <t>Vítězná je společný název, osada samotná jako místní část neexistuje</t>
        </r>
      </text>
    </comment>
    <comment ref="AD412" authorId="0" shapeId="0">
      <text>
        <r>
          <rPr>
            <sz val="9"/>
            <color indexed="81"/>
            <rFont val="Tahoma"/>
            <family val="2"/>
            <charset val="238"/>
          </rPr>
          <t xml:space="preserve">dosud nežádali
</t>
        </r>
      </text>
    </comment>
    <comment ref="U416" authorId="0" shapeId="0">
      <text>
        <r>
          <rPr>
            <b/>
            <sz val="9"/>
            <color indexed="81"/>
            <rFont val="Tahoma"/>
            <family val="2"/>
            <charset val="238"/>
          </rPr>
          <t>2015 neúspěšně</t>
        </r>
      </text>
    </comment>
    <comment ref="C417" authorId="0" shapeId="0">
      <text>
        <r>
          <rPr>
            <b/>
            <sz val="9"/>
            <color indexed="81"/>
            <rFont val="Tahoma"/>
            <family val="2"/>
            <charset val="238"/>
          </rPr>
          <t>u Rychnova nad Kněžnou</t>
        </r>
      </text>
    </comment>
    <comment ref="BD418" authorId="0" shapeId="0">
      <text>
        <r>
          <rPr>
            <b/>
            <sz val="9"/>
            <color indexed="81"/>
            <rFont val="Tahoma"/>
            <family val="2"/>
            <charset val="238"/>
          </rPr>
          <t>2016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E418" authorId="0" shapeId="0">
      <text>
        <r>
          <rPr>
            <b/>
            <sz val="9"/>
            <color indexed="81"/>
            <rFont val="Tahoma"/>
            <family val="2"/>
            <charset val="238"/>
          </rPr>
          <t>2009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F418" authorId="0" shapeId="0">
      <text>
        <r>
          <rPr>
            <b/>
            <sz val="9"/>
            <color indexed="81"/>
            <rFont val="Tahoma"/>
            <family val="2"/>
            <charset val="238"/>
          </rPr>
          <t>2009</t>
        </r>
      </text>
    </comment>
    <comment ref="BD419" authorId="0" shapeId="0">
      <text>
        <r>
          <rPr>
            <b/>
            <sz val="9"/>
            <color indexed="81"/>
            <rFont val="Tahoma"/>
            <family val="2"/>
            <charset val="238"/>
          </rPr>
          <t>2013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420" authorId="0" shapeId="0">
      <text>
        <r>
          <rPr>
            <b/>
            <sz val="9"/>
            <color indexed="81"/>
            <rFont val="Tahoma"/>
            <family val="2"/>
            <charset val="238"/>
          </rPr>
          <t>724 180 978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U420" authorId="0" shapeId="0">
      <text>
        <r>
          <rPr>
            <sz val="9"/>
            <color indexed="81"/>
            <rFont val="Tahoma"/>
            <family val="2"/>
            <charset val="238"/>
          </rPr>
          <t>2014, 2015, 2016 neúspěšně žádali</t>
        </r>
      </text>
    </comment>
    <comment ref="AD422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</text>
    </comment>
    <comment ref="BE422" authorId="0" shapeId="0">
      <text>
        <r>
          <rPr>
            <b/>
            <sz val="9"/>
            <color indexed="81"/>
            <rFont val="Tahoma"/>
            <family val="2"/>
            <charset val="238"/>
          </rPr>
          <t>2016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F422" authorId="0" shapeId="0">
      <text>
        <r>
          <rPr>
            <b/>
            <sz val="9"/>
            <color indexed="81"/>
            <rFont val="Tahoma"/>
            <family val="2"/>
            <charset val="238"/>
          </rPr>
          <t>2016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423" authorId="0" shapeId="0">
      <text>
        <r>
          <rPr>
            <b/>
            <sz val="9"/>
            <color indexed="81"/>
            <rFont val="Tahoma"/>
            <family val="2"/>
            <charset val="238"/>
          </rPr>
          <t>776 623 908</t>
        </r>
      </text>
    </comment>
    <comment ref="U424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</text>
    </comment>
    <comment ref="U426" authorId="0" shapeId="0">
      <text>
        <r>
          <rPr>
            <b/>
            <sz val="9"/>
            <color indexed="81"/>
            <rFont val="Tahoma"/>
            <family val="2"/>
            <charset val="238"/>
          </rPr>
          <t>2014 a 2015 neúspěšně</t>
        </r>
      </text>
    </comment>
    <comment ref="F432" authorId="0" shapeId="0">
      <text>
        <r>
          <rPr>
            <b/>
            <sz val="9"/>
            <color indexed="81"/>
            <rFont val="Tahoma"/>
            <family val="2"/>
            <charset val="238"/>
          </rPr>
          <t>dříve okres RK</t>
        </r>
      </text>
    </comment>
    <comment ref="U435" authorId="0" shapeId="0">
      <text>
        <r>
          <rPr>
            <b/>
            <sz val="9"/>
            <color indexed="81"/>
            <rFont val="Tahoma"/>
            <family val="2"/>
            <charset val="238"/>
          </rPr>
          <t>2015 neúspěšně</t>
        </r>
      </text>
    </comment>
    <comment ref="BC436" authorId="0" shapeId="0">
      <text>
        <r>
          <rPr>
            <b/>
            <sz val="9"/>
            <color indexed="81"/>
            <rFont val="Tahoma"/>
            <family val="2"/>
            <charset val="238"/>
          </rPr>
          <t>tvoří se nový</t>
        </r>
      </text>
    </comment>
    <comment ref="AD438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</text>
    </comment>
    <comment ref="BC439" authorId="0" shapeId="0">
      <text>
        <r>
          <rPr>
            <b/>
            <sz val="9"/>
            <color indexed="81"/>
            <rFont val="Tahoma"/>
            <family val="2"/>
            <charset val="238"/>
          </rPr>
          <t>předchozí z roku 2003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F439" authorId="0" shapeId="0">
      <text>
        <r>
          <rPr>
            <b/>
            <sz val="9"/>
            <color indexed="81"/>
            <rFont val="Tahoma"/>
            <family val="2"/>
            <charset val="238"/>
          </rPr>
          <t>...buduje se splašková kanalizace napojená na ČOV Prasek</t>
        </r>
      </text>
    </comment>
    <comment ref="BN439" authorId="0" shapeId="0">
      <text>
        <r>
          <rPr>
            <b/>
            <sz val="9"/>
            <color indexed="81"/>
            <rFont val="Tahoma"/>
            <family val="2"/>
            <charset val="238"/>
          </rPr>
          <t>...V obci je nově vybudovaný sportovní areál s dětským hřištěm, který slouží jako zázemí pro pořádání různých akcí</t>
        </r>
      </text>
    </comment>
    <comment ref="AD443" authorId="0" shapeId="0">
      <text>
        <r>
          <rPr>
            <b/>
            <sz val="9"/>
            <color indexed="81"/>
            <rFont val="Tahoma"/>
            <family val="2"/>
            <charset val="238"/>
          </rPr>
          <t>dosud nežádali</t>
        </r>
      </text>
    </comment>
    <comment ref="BF446" authorId="0" shapeId="0">
      <text>
        <r>
          <rPr>
            <b/>
            <sz val="9"/>
            <color indexed="81"/>
            <rFont val="Tahoma"/>
            <family val="2"/>
            <charset val="238"/>
          </rPr>
          <t>2007, dočiš´tovací nádrž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452" authorId="0" shapeId="0">
      <text>
        <r>
          <rPr>
            <b/>
            <sz val="9"/>
            <color indexed="81"/>
            <rFont val="Tahoma"/>
            <family val="2"/>
            <charset val="238"/>
          </rPr>
          <t>2011 naposled úspěšně</t>
        </r>
      </text>
    </comment>
  </commentList>
</comments>
</file>

<file path=xl/sharedStrings.xml><?xml version="1.0" encoding="utf-8"?>
<sst xmlns="http://schemas.openxmlformats.org/spreadsheetml/2006/main" count="10940" uniqueCount="2512">
  <si>
    <t>Statut</t>
  </si>
  <si>
    <t>Stavební úřad</t>
  </si>
  <si>
    <t>Výměra
v ha</t>
  </si>
  <si>
    <t>Počet
obyvatel</t>
  </si>
  <si>
    <t>Správní obvod obce
s rozšířenou
působností</t>
  </si>
  <si>
    <t>Správní obvod obce
s pověřeným
obecním úřadem</t>
  </si>
  <si>
    <t>Babice</t>
  </si>
  <si>
    <t>Nový Bydžov</t>
  </si>
  <si>
    <t>Chlumec nad Cidlinou</t>
  </si>
  <si>
    <t>Barchov</t>
  </si>
  <si>
    <t>Běleč nad Orlicí</t>
  </si>
  <si>
    <t>Hradec Králové</t>
  </si>
  <si>
    <t>Benátky</t>
  </si>
  <si>
    <t>Smiřice</t>
  </si>
  <si>
    <t>Blešno</t>
  </si>
  <si>
    <t>Boharyně</t>
  </si>
  <si>
    <t>Nechanice</t>
  </si>
  <si>
    <t>Černilov</t>
  </si>
  <si>
    <t>Černožice</t>
  </si>
  <si>
    <t>Čistěves</t>
  </si>
  <si>
    <t>Všestary</t>
  </si>
  <si>
    <t>Divec</t>
  </si>
  <si>
    <t>Dobřenice</t>
  </si>
  <si>
    <t>Praskačka</t>
  </si>
  <si>
    <t>Dohalice</t>
  </si>
  <si>
    <t>Dolní Přím</t>
  </si>
  <si>
    <t>Habřina</t>
  </si>
  <si>
    <t>Hlušice</t>
  </si>
  <si>
    <t>Hněvčeves</t>
  </si>
  <si>
    <t>Holohlavy</t>
  </si>
  <si>
    <t>Hořiněves</t>
  </si>
  <si>
    <t>HRADEC KRÁLOVÉ</t>
  </si>
  <si>
    <t>Hrádek</t>
  </si>
  <si>
    <t>Humburky</t>
  </si>
  <si>
    <t>Hvozdnice</t>
  </si>
  <si>
    <t>Chudeřice</t>
  </si>
  <si>
    <t>Jeníkovice</t>
  </si>
  <si>
    <t>Jílovice</t>
  </si>
  <si>
    <t>Opočno</t>
  </si>
  <si>
    <t>Káranice</t>
  </si>
  <si>
    <t>Klamoš</t>
  </si>
  <si>
    <t>Kobylice</t>
  </si>
  <si>
    <t>Kosice</t>
  </si>
  <si>
    <t>Kosičky</t>
  </si>
  <si>
    <t>Králíky</t>
  </si>
  <si>
    <t>Kratonohy</t>
  </si>
  <si>
    <t>Kunčice</t>
  </si>
  <si>
    <t>Ledce</t>
  </si>
  <si>
    <t>Lejšovka</t>
  </si>
  <si>
    <t>Lhota pod Libčany</t>
  </si>
  <si>
    <t>Libčany</t>
  </si>
  <si>
    <t>Libníkovice</t>
  </si>
  <si>
    <t>Librantice</t>
  </si>
  <si>
    <t>Libřice</t>
  </si>
  <si>
    <t>Lišice</t>
  </si>
  <si>
    <t>Lodín</t>
  </si>
  <si>
    <t>Lochenice</t>
  </si>
  <si>
    <t>Lovčice</t>
  </si>
  <si>
    <t>Lužany</t>
  </si>
  <si>
    <t>Lužec nad Cidlinou</t>
  </si>
  <si>
    <t>Máslojedy</t>
  </si>
  <si>
    <t>Měník</t>
  </si>
  <si>
    <t>Mlékosrby</t>
  </si>
  <si>
    <t>Mokrovousy</t>
  </si>
  <si>
    <t>Myštěves</t>
  </si>
  <si>
    <t>Mžany</t>
  </si>
  <si>
    <t>Neděliště</t>
  </si>
  <si>
    <t>Nepolisy</t>
  </si>
  <si>
    <t>Nové Město</t>
  </si>
  <si>
    <t>Obědovice</t>
  </si>
  <si>
    <t>Ohnišťany</t>
  </si>
  <si>
    <t>Smidary</t>
  </si>
  <si>
    <t>Olešnice</t>
  </si>
  <si>
    <t>Osice</t>
  </si>
  <si>
    <t>Osičky</t>
  </si>
  <si>
    <t>Petrovice</t>
  </si>
  <si>
    <t>Písek</t>
  </si>
  <si>
    <t>Prasek</t>
  </si>
  <si>
    <t>Předměřice nad Labem</t>
  </si>
  <si>
    <t>Převýšov</t>
  </si>
  <si>
    <t>Pšánky</t>
  </si>
  <si>
    <t>Puchlovice</t>
  </si>
  <si>
    <t>Račice nad Trotinou</t>
  </si>
  <si>
    <t>Radíkovice</t>
  </si>
  <si>
    <t>Radostov</t>
  </si>
  <si>
    <t>Roudnice</t>
  </si>
  <si>
    <t>Sadová</t>
  </si>
  <si>
    <t>Sendražice</t>
  </si>
  <si>
    <t>Skalice</t>
  </si>
  <si>
    <t>Skřivany</t>
  </si>
  <si>
    <t>Sloupno</t>
  </si>
  <si>
    <t>Smržov</t>
  </si>
  <si>
    <t>Sovětice</t>
  </si>
  <si>
    <t>Stará Voda</t>
  </si>
  <si>
    <t>Starý Bydžov</t>
  </si>
  <si>
    <t>Stěžery</t>
  </si>
  <si>
    <t>Stračov</t>
  </si>
  <si>
    <t>Střezetice</t>
  </si>
  <si>
    <t>Světí</t>
  </si>
  <si>
    <t>Syrovátka</t>
  </si>
  <si>
    <t>Šaplava</t>
  </si>
  <si>
    <t>Těchlovice</t>
  </si>
  <si>
    <t>Třebechovice pod Orebem</t>
  </si>
  <si>
    <t>Třesovice</t>
  </si>
  <si>
    <t>Urbanice</t>
  </si>
  <si>
    <t>Vinary</t>
  </si>
  <si>
    <t>Vrchovnice</t>
  </si>
  <si>
    <t>Výrava</t>
  </si>
  <si>
    <t>Vysoká nad Labem</t>
  </si>
  <si>
    <t>Vysoký Újezd</t>
  </si>
  <si>
    <t>Zachrašťany</t>
  </si>
  <si>
    <t>Zdechovice</t>
  </si>
  <si>
    <t>Bačalky</t>
  </si>
  <si>
    <t>Jičín</t>
  </si>
  <si>
    <t>Kopidlno</t>
  </si>
  <si>
    <t>Libáň</t>
  </si>
  <si>
    <t>Bašnice</t>
  </si>
  <si>
    <t>Hořice</t>
  </si>
  <si>
    <t>Běchary</t>
  </si>
  <si>
    <t>Bílsko u Hořic</t>
  </si>
  <si>
    <t>Boháňka</t>
  </si>
  <si>
    <t>Borek</t>
  </si>
  <si>
    <t>Miletín</t>
  </si>
  <si>
    <t>Brada-Rybníček</t>
  </si>
  <si>
    <t>Březina</t>
  </si>
  <si>
    <t>Bříšťany</t>
  </si>
  <si>
    <t>Budčeves</t>
  </si>
  <si>
    <t>Bukvice</t>
  </si>
  <si>
    <t>Butoves</t>
  </si>
  <si>
    <t>Bystřice</t>
  </si>
  <si>
    <t>Cerekvice nad Bystřicí</t>
  </si>
  <si>
    <t>Červená Třemešná</t>
  </si>
  <si>
    <t>Češov</t>
  </si>
  <si>
    <t>Dětenice</t>
  </si>
  <si>
    <t>Dílce</t>
  </si>
  <si>
    <t>Dobrá Voda u Hořic</t>
  </si>
  <si>
    <t>Dolní Lochov</t>
  </si>
  <si>
    <t>Dřevěnice</t>
  </si>
  <si>
    <t>Holín</t>
  </si>
  <si>
    <t>Holovousy</t>
  </si>
  <si>
    <t>Ostroměř</t>
  </si>
  <si>
    <t>Cholenice</t>
  </si>
  <si>
    <t>Chomutice</t>
  </si>
  <si>
    <t>Choteč</t>
  </si>
  <si>
    <t>Lázně Bělohrad</t>
  </si>
  <si>
    <t>Chyjice</t>
  </si>
  <si>
    <t>Jeřice</t>
  </si>
  <si>
    <t>Jičíněves</t>
  </si>
  <si>
    <t>Jinolice</t>
  </si>
  <si>
    <t>Kacákova Lhota</t>
  </si>
  <si>
    <t>Kbelnice</t>
  </si>
  <si>
    <t>Kněžnice</t>
  </si>
  <si>
    <t>Konecchlumí</t>
  </si>
  <si>
    <t>Kostelec</t>
  </si>
  <si>
    <t>Kovač</t>
  </si>
  <si>
    <t>Kozojedy</t>
  </si>
  <si>
    <t>Vysoké Veselí</t>
  </si>
  <si>
    <t>Kyje</t>
  </si>
  <si>
    <t>Libošovice</t>
  </si>
  <si>
    <t>Sobotka</t>
  </si>
  <si>
    <t>Libuň</t>
  </si>
  <si>
    <t>Lískovice</t>
  </si>
  <si>
    <t>Lukavec u Hořic</t>
  </si>
  <si>
    <t>Markvartice</t>
  </si>
  <si>
    <t>Milovice u Hořic</t>
  </si>
  <si>
    <t>Mladějov</t>
  </si>
  <si>
    <t>Mlázovice</t>
  </si>
  <si>
    <t>Nemyčeves</t>
  </si>
  <si>
    <t>Nevratice</t>
  </si>
  <si>
    <t>Nová Paka</t>
  </si>
  <si>
    <t>Ohařice</t>
  </si>
  <si>
    <t>Ohaveč</t>
  </si>
  <si>
    <t>Osek</t>
  </si>
  <si>
    <t>Ostružno</t>
  </si>
  <si>
    <t>Pecka</t>
  </si>
  <si>
    <t>Petrovičky</t>
  </si>
  <si>
    <t>Podhorní Újezd a Vojice</t>
  </si>
  <si>
    <t>Podhradí</t>
  </si>
  <si>
    <t>Podůlší</t>
  </si>
  <si>
    <t>Radim</t>
  </si>
  <si>
    <t>Rašín</t>
  </si>
  <si>
    <t>Rohoznice</t>
  </si>
  <si>
    <t>Rokytňany</t>
  </si>
  <si>
    <t>Samšina</t>
  </si>
  <si>
    <t>Sběř</t>
  </si>
  <si>
    <t>Sedliště</t>
  </si>
  <si>
    <t>Sekeřice</t>
  </si>
  <si>
    <t>Slatiny</t>
  </si>
  <si>
    <t>Slavhostice</t>
  </si>
  <si>
    <t>Sobčice</t>
  </si>
  <si>
    <t>Soběraz</t>
  </si>
  <si>
    <t>Stará Paka</t>
  </si>
  <si>
    <t>Staré Hrady</t>
  </si>
  <si>
    <t>Staré Místo</t>
  </si>
  <si>
    <t>Staré Smrkovice</t>
  </si>
  <si>
    <t>Střevač</t>
  </si>
  <si>
    <t>Sukorady</t>
  </si>
  <si>
    <t>Svatojanský Újezd</t>
  </si>
  <si>
    <t>Šárovcova Lhota</t>
  </si>
  <si>
    <t>Tetín</t>
  </si>
  <si>
    <t>Třebnouševes</t>
  </si>
  <si>
    <t>Třtěnice</t>
  </si>
  <si>
    <t>Tuř</t>
  </si>
  <si>
    <t>Úbislavice</t>
  </si>
  <si>
    <t>Údrnice</t>
  </si>
  <si>
    <t>Úhlejov</t>
  </si>
  <si>
    <t>Újezd pod Troskami</t>
  </si>
  <si>
    <t>Úlibice</t>
  </si>
  <si>
    <t>Valdice</t>
  </si>
  <si>
    <t>Veliš</t>
  </si>
  <si>
    <t>Vidochov</t>
  </si>
  <si>
    <t>Vitiněves</t>
  </si>
  <si>
    <t>Volanice</t>
  </si>
  <si>
    <t>Vrbice</t>
  </si>
  <si>
    <t>Vršce</t>
  </si>
  <si>
    <t>Vřesník</t>
  </si>
  <si>
    <t>Zámostí-Blata</t>
  </si>
  <si>
    <t>Zelenecká Lhota</t>
  </si>
  <si>
    <t>Železnice</t>
  </si>
  <si>
    <t>Žeretice</t>
  </si>
  <si>
    <t>Židovice</t>
  </si>
  <si>
    <t>Žlunice</t>
  </si>
  <si>
    <t>Adršpach</t>
  </si>
  <si>
    <t>Broumov</t>
  </si>
  <si>
    <t>Teplice nad Metují</t>
  </si>
  <si>
    <t>Bezděkov nad Metují</t>
  </si>
  <si>
    <t>Náchod</t>
  </si>
  <si>
    <t>Police nad Metují</t>
  </si>
  <si>
    <t>Bohuslavice</t>
  </si>
  <si>
    <t>Borová</t>
  </si>
  <si>
    <t>Nový Hrádek</t>
  </si>
  <si>
    <t>Božanov</t>
  </si>
  <si>
    <t>Brzice</t>
  </si>
  <si>
    <t>Česká Skalice</t>
  </si>
  <si>
    <t>Hořičky</t>
  </si>
  <si>
    <t>Bukovice</t>
  </si>
  <si>
    <t>Černčice</t>
  </si>
  <si>
    <t>Červená Hora</t>
  </si>
  <si>
    <t>Červený Kostelec</t>
  </si>
  <si>
    <t>Česká Čermná</t>
  </si>
  <si>
    <t>Česká Metuje</t>
  </si>
  <si>
    <t>Dolany</t>
  </si>
  <si>
    <t>Jaroměř</t>
  </si>
  <si>
    <t>Dolní Radechová</t>
  </si>
  <si>
    <t>Hejtmánkovice</t>
  </si>
  <si>
    <t>Heřmanice</t>
  </si>
  <si>
    <t>Heřmánkovice</t>
  </si>
  <si>
    <t>Horní Radechová</t>
  </si>
  <si>
    <t>Hořenice</t>
  </si>
  <si>
    <t>Hronov</t>
  </si>
  <si>
    <t>Hynčice</t>
  </si>
  <si>
    <t>Meziměstí</t>
  </si>
  <si>
    <t>Chvalkovice</t>
  </si>
  <si>
    <t>Jasenná</t>
  </si>
  <si>
    <t>Jestřebí</t>
  </si>
  <si>
    <t>Jetřichov</t>
  </si>
  <si>
    <t>Kramolna</t>
  </si>
  <si>
    <t>Křinice</t>
  </si>
  <si>
    <t>Lhota pod Hořičkami</t>
  </si>
  <si>
    <t>Libchyně</t>
  </si>
  <si>
    <t>Litoboř</t>
  </si>
  <si>
    <t>Machov</t>
  </si>
  <si>
    <t>Martínkovice</t>
  </si>
  <si>
    <t>Mezilečí</t>
  </si>
  <si>
    <t>Mezilesí</t>
  </si>
  <si>
    <t>Nahořany</t>
  </si>
  <si>
    <t>Nové Město nad Metují</t>
  </si>
  <si>
    <t>Nový Ples</t>
  </si>
  <si>
    <t>Otovice</t>
  </si>
  <si>
    <t>Provodov-Šonov</t>
  </si>
  <si>
    <t>Přibyslav</t>
  </si>
  <si>
    <t>Rasošky</t>
  </si>
  <si>
    <t>Rožnov</t>
  </si>
  <si>
    <t>Rychnovek</t>
  </si>
  <si>
    <t>Říkov</t>
  </si>
  <si>
    <t>Sendraž</t>
  </si>
  <si>
    <t>Slatina nad Úpou</t>
  </si>
  <si>
    <t>Slavětín nad Metují</t>
  </si>
  <si>
    <t>Slavoňov</t>
  </si>
  <si>
    <t>Stárkov</t>
  </si>
  <si>
    <t>Studnice</t>
  </si>
  <si>
    <t>Suchý Důl</t>
  </si>
  <si>
    <t>Šestajovice</t>
  </si>
  <si>
    <t>Šonov</t>
  </si>
  <si>
    <t>Velichovky</t>
  </si>
  <si>
    <t>Velká Jesenice</t>
  </si>
  <si>
    <t>Velké Petrovice</t>
  </si>
  <si>
    <t>Velké Poříčí</t>
  </si>
  <si>
    <t>Velký Třebešov</t>
  </si>
  <si>
    <t>Vernéřovice</t>
  </si>
  <si>
    <t>Vestec</t>
  </si>
  <si>
    <t>Vlkov</t>
  </si>
  <si>
    <t>Vršovka</t>
  </si>
  <si>
    <t>Vysoká Srbská</t>
  </si>
  <si>
    <t>Vysokov</t>
  </si>
  <si>
    <t>Zábrodí</t>
  </si>
  <si>
    <t>Zaloňov</t>
  </si>
  <si>
    <t>Žďár nad Metují</t>
  </si>
  <si>
    <t>Žďárky</t>
  </si>
  <si>
    <t>Žernov</t>
  </si>
  <si>
    <t>Albrechtice nad Orlicí</t>
  </si>
  <si>
    <t>Kostelec nad Orlicí</t>
  </si>
  <si>
    <t>Týniště nad Orlicí</t>
  </si>
  <si>
    <t>Bačetín</t>
  </si>
  <si>
    <t>Dobruška</t>
  </si>
  <si>
    <t>Bartošovice v Orlických horách</t>
  </si>
  <si>
    <t>Bílý Újezd</t>
  </si>
  <si>
    <t>Solnice</t>
  </si>
  <si>
    <t>Bohdašín</t>
  </si>
  <si>
    <t>Bolehošť</t>
  </si>
  <si>
    <t>Borohrádek</t>
  </si>
  <si>
    <t>Borovnice</t>
  </si>
  <si>
    <t>Bystré</t>
  </si>
  <si>
    <t>Byzhradec</t>
  </si>
  <si>
    <t>Častolovice</t>
  </si>
  <si>
    <t>Čermná nad Orlicí</t>
  </si>
  <si>
    <t>Černíkovice</t>
  </si>
  <si>
    <t>České Meziříčí</t>
  </si>
  <si>
    <t>Čestice</t>
  </si>
  <si>
    <t>Deštné v Orlických horách</t>
  </si>
  <si>
    <t>Sedloňov</t>
  </si>
  <si>
    <t>Dobré</t>
  </si>
  <si>
    <t>Dobřany</t>
  </si>
  <si>
    <t>Doudleby nad Orlicí</t>
  </si>
  <si>
    <t>Hřibiny-Ledská</t>
  </si>
  <si>
    <t>Chleny</t>
  </si>
  <si>
    <t>Chlístov</t>
  </si>
  <si>
    <t>Jahodov</t>
  </si>
  <si>
    <t>Janov</t>
  </si>
  <si>
    <t>Javornice</t>
  </si>
  <si>
    <t>Kostelecké Horky</t>
  </si>
  <si>
    <t>Kounov</t>
  </si>
  <si>
    <t>Králova Lhota</t>
  </si>
  <si>
    <t>Krchleby</t>
  </si>
  <si>
    <t>Kvasiny</t>
  </si>
  <si>
    <t>Lhoty u Potštejna</t>
  </si>
  <si>
    <t>Vamberk</t>
  </si>
  <si>
    <t>Libel</t>
  </si>
  <si>
    <t>Liberk</t>
  </si>
  <si>
    <t>Lično</t>
  </si>
  <si>
    <t>Lípa nad Orlicí</t>
  </si>
  <si>
    <t>Lukavice</t>
  </si>
  <si>
    <t>Lupenice</t>
  </si>
  <si>
    <t>Mokré</t>
  </si>
  <si>
    <t>Nová Ves</t>
  </si>
  <si>
    <t>Očelice</t>
  </si>
  <si>
    <t>Ohnišov</t>
  </si>
  <si>
    <t>Olešnice v Orlických horách</t>
  </si>
  <si>
    <t>Orlické Záhoří</t>
  </si>
  <si>
    <t>Osečnice</t>
  </si>
  <si>
    <t>Pěčín</t>
  </si>
  <si>
    <t>Podbřezí</t>
  </si>
  <si>
    <t>Pohoří</t>
  </si>
  <si>
    <t>Polom</t>
  </si>
  <si>
    <t>Potštejn</t>
  </si>
  <si>
    <t>Proruby</t>
  </si>
  <si>
    <t>Přepychy</t>
  </si>
  <si>
    <t>Rohenice</t>
  </si>
  <si>
    <t>Rokytnice v Orlických horách</t>
  </si>
  <si>
    <t>Rybná nad Zdobnicí</t>
  </si>
  <si>
    <t>Rychnov nad Kněžnou</t>
  </si>
  <si>
    <t>Říčky v Orlických horách</t>
  </si>
  <si>
    <t>Semechnice</t>
  </si>
  <si>
    <t>Skuhrov nad Bělou</t>
  </si>
  <si>
    <t>Slatina nad Zdobnicí</t>
  </si>
  <si>
    <t>Sněžné</t>
  </si>
  <si>
    <t>Svídnice</t>
  </si>
  <si>
    <t>Synkov-Slemeno</t>
  </si>
  <si>
    <t>Trnov</t>
  </si>
  <si>
    <t>Třebešov</t>
  </si>
  <si>
    <t>Tutleky</t>
  </si>
  <si>
    <t>Val</t>
  </si>
  <si>
    <t>Voděrady</t>
  </si>
  <si>
    <t>Záměl</t>
  </si>
  <si>
    <t>Zdelov</t>
  </si>
  <si>
    <t>Zdobnice</t>
  </si>
  <si>
    <t>Žďár nad Orlicí</t>
  </si>
  <si>
    <t>Batňovice</t>
  </si>
  <si>
    <t>Trutnov</t>
  </si>
  <si>
    <t>Úpice</t>
  </si>
  <si>
    <t>Rtyně v Podkrkonoší</t>
  </si>
  <si>
    <t>Bernartice</t>
  </si>
  <si>
    <t>Žacléř</t>
  </si>
  <si>
    <t>Bílá Třemešná</t>
  </si>
  <si>
    <t>Bílé Poličany</t>
  </si>
  <si>
    <t>Dubenec</t>
  </si>
  <si>
    <t>Mostek</t>
  </si>
  <si>
    <t>Borovnička</t>
  </si>
  <si>
    <t>Čermná</t>
  </si>
  <si>
    <t>Vrchlabí</t>
  </si>
  <si>
    <t>Hostinné</t>
  </si>
  <si>
    <t>Černý Důl</t>
  </si>
  <si>
    <t>Rudník</t>
  </si>
  <si>
    <t>Dolní Branná</t>
  </si>
  <si>
    <t>Dolní Brusnice</t>
  </si>
  <si>
    <t>Dolní Dvůr</t>
  </si>
  <si>
    <t>Dolní Kalná</t>
  </si>
  <si>
    <t>Dolní Lánov</t>
  </si>
  <si>
    <t>Dolní Olešnice</t>
  </si>
  <si>
    <t>Doubravice</t>
  </si>
  <si>
    <t>Dvůr Králové nad Labem</t>
  </si>
  <si>
    <t>Hajnice</t>
  </si>
  <si>
    <t>Havlovice</t>
  </si>
  <si>
    <t>Horní Brusnice</t>
  </si>
  <si>
    <t>Horní Kalná</t>
  </si>
  <si>
    <t>Horní Maršov</t>
  </si>
  <si>
    <t>Svoboda nad Úpou</t>
  </si>
  <si>
    <t>Horní Olešnice</t>
  </si>
  <si>
    <t>Hřibojedy</t>
  </si>
  <si>
    <t>Chotěvice</t>
  </si>
  <si>
    <t>Choustníkovo Hradiště</t>
  </si>
  <si>
    <t>Chvaleč</t>
  </si>
  <si>
    <t>Janské Lázně</t>
  </si>
  <si>
    <t>Jívka</t>
  </si>
  <si>
    <t>Klášterská Lhota</t>
  </si>
  <si>
    <t>Kocbeře</t>
  </si>
  <si>
    <t>Kohoutov</t>
  </si>
  <si>
    <t>Královec</t>
  </si>
  <si>
    <t>Kuks</t>
  </si>
  <si>
    <t>Kunčice nad Labem</t>
  </si>
  <si>
    <t>Lampertice</t>
  </si>
  <si>
    <t>Lánov</t>
  </si>
  <si>
    <t>Lanžov</t>
  </si>
  <si>
    <t>Libňatov</t>
  </si>
  <si>
    <t>Libotov</t>
  </si>
  <si>
    <t>Litíč</t>
  </si>
  <si>
    <t>Malá Úpa</t>
  </si>
  <si>
    <t>Malé Svatoňovice</t>
  </si>
  <si>
    <t>Maršov u Úpice</t>
  </si>
  <si>
    <t>Mladé Buky</t>
  </si>
  <si>
    <t>Nemojov</t>
  </si>
  <si>
    <t>Pec pod Sněžkou</t>
  </si>
  <si>
    <t>Pilníkov</t>
  </si>
  <si>
    <t>Prosečné</t>
  </si>
  <si>
    <t>Radvanice</t>
  </si>
  <si>
    <t>Stanovice</t>
  </si>
  <si>
    <t>Staré Buky</t>
  </si>
  <si>
    <t>Strážné</t>
  </si>
  <si>
    <t>Suchovršice</t>
  </si>
  <si>
    <t>Špindlerův Mlýn</t>
  </si>
  <si>
    <t>Trotina</t>
  </si>
  <si>
    <t>Třebihošť</t>
  </si>
  <si>
    <t>Velké Svatoňovice</t>
  </si>
  <si>
    <t>Velký Vřešťov</t>
  </si>
  <si>
    <t>Vilantice</t>
  </si>
  <si>
    <t>Vítězná</t>
  </si>
  <si>
    <t>Vlčice</t>
  </si>
  <si>
    <t>Vlčkovice v Podkrkonoší</t>
  </si>
  <si>
    <t>Zábřezí-Řečice</t>
  </si>
  <si>
    <t>Zdobín</t>
  </si>
  <si>
    <t>Zlatá Olešnice</t>
  </si>
  <si>
    <t>Okres</t>
  </si>
  <si>
    <t>HK</t>
  </si>
  <si>
    <t>JC</t>
  </si>
  <si>
    <t>NA</t>
  </si>
  <si>
    <t>RK</t>
  </si>
  <si>
    <t>TU</t>
  </si>
  <si>
    <t xml:space="preserve"> </t>
  </si>
  <si>
    <t>Počet místních částí</t>
  </si>
  <si>
    <t>I.</t>
  </si>
  <si>
    <t>III.</t>
  </si>
  <si>
    <t>II.</t>
  </si>
  <si>
    <t>obec</t>
  </si>
  <si>
    <t>městys</t>
  </si>
  <si>
    <t>město</t>
  </si>
  <si>
    <t>Budín, Homyle, Trnava, Zvíkov</t>
  </si>
  <si>
    <t>Bukovina, Újezd</t>
  </si>
  <si>
    <t>Horní Dohalice</t>
  </si>
  <si>
    <t>Horní Přím, Jehlice, Nový Přím, Probluz</t>
  </si>
  <si>
    <t>Místní části obce</t>
  </si>
  <si>
    <t>Hlušičky</t>
  </si>
  <si>
    <t>Jeřičky, Želkovice, Žíželeves</t>
  </si>
  <si>
    <t>Kladruby, Lučice, Pamětník</t>
  </si>
  <si>
    <t>Štít</t>
  </si>
  <si>
    <t>Chmelovice, Podoliby, Řehoty</t>
  </si>
  <si>
    <t>Michnovka</t>
  </si>
  <si>
    <t>Klášter nad Dědinou, Újezdec</t>
  </si>
  <si>
    <t>Hubenice</t>
  </si>
  <si>
    <t>Želí</t>
  </si>
  <si>
    <t>Borovice, Horní Černilov</t>
  </si>
  <si>
    <t>Janatov</t>
  </si>
  <si>
    <t>Barchůvek, Bydžovská Lhotka, Libeň</t>
  </si>
  <si>
    <t xml:space="preserve">Komárov, Lubno, Nerošov, Sobětuš, Staré Nechanice, Suchá, Tůně </t>
  </si>
  <si>
    <t>Luková, Zadražany</t>
  </si>
  <si>
    <t>Levín</t>
  </si>
  <si>
    <t>Polizy, Trávník</t>
  </si>
  <si>
    <t>Kanice</t>
  </si>
  <si>
    <t>Krásnice, Sedlice, Vlčkovice, Žižkovec</t>
  </si>
  <si>
    <t>Číbuz, Skalička</t>
  </si>
  <si>
    <t>Červeněves, Chotělice, Křičov, Loučná Hora</t>
  </si>
  <si>
    <t>Rodov, Trotina</t>
  </si>
  <si>
    <t>Hubíles</t>
  </si>
  <si>
    <t>Horní Černůtky</t>
  </si>
  <si>
    <t>Hřibsko, Charbuzice, Stěžírky</t>
  </si>
  <si>
    <t>Klenice</t>
  </si>
  <si>
    <t>Dlouhé Dvory</t>
  </si>
  <si>
    <t>Popovice</t>
  </si>
  <si>
    <t>Janovice, Kozojídky, Smidarská Lhota</t>
  </si>
  <si>
    <t>Bříza, Chlum, Lípa, Rosnice, Rozběřice</t>
  </si>
  <si>
    <t>Dolní Černilov</t>
  </si>
  <si>
    <t>Běchárky</t>
  </si>
  <si>
    <t>Bezník, Želejov</t>
  </si>
  <si>
    <t>Nečas</t>
  </si>
  <si>
    <t>Křelina</t>
  </si>
  <si>
    <t>Važice</t>
  </si>
  <si>
    <t>Čenice, Třebovětice</t>
  </si>
  <si>
    <t>Liběšice</t>
  </si>
  <si>
    <t>Brodek, Osenice</t>
  </si>
  <si>
    <t>(Dolní Dobrá Voda, Horní Dobrá Voda)</t>
  </si>
  <si>
    <t>(Malé Bílsko, Velké Bílsko)</t>
  </si>
  <si>
    <t>(Nový Radostov, Starý Radostov)</t>
  </si>
  <si>
    <t>(Dolní Neděliště, Horní Neděliště)</t>
  </si>
  <si>
    <t>Dolánky</t>
  </si>
  <si>
    <t>Horní Lochov, Pařezská Lhota, Prachov</t>
  </si>
  <si>
    <t>Dolní Mezihoří, Chloumky, Chodovice</t>
  </si>
  <si>
    <t>ZÁKLADNÍ INFORMACE</t>
  </si>
  <si>
    <t>KONTAKTY</t>
  </si>
  <si>
    <t>Webová stránka</t>
  </si>
  <si>
    <t>E-mailová adresa</t>
  </si>
  <si>
    <t>Telefon</t>
  </si>
  <si>
    <t>Stautární zástupce</t>
  </si>
  <si>
    <t>Obec</t>
  </si>
  <si>
    <t>Funkce</t>
  </si>
  <si>
    <t>Jméno</t>
  </si>
  <si>
    <t>Chlumec n.C.</t>
  </si>
  <si>
    <t>Třebechovice p.O.</t>
  </si>
  <si>
    <t>Nové Město n.M.</t>
  </si>
  <si>
    <t>Rokytnice v O.h.</t>
  </si>
  <si>
    <t>Rychnov n.Kn.</t>
  </si>
  <si>
    <t>Kostelec n.O.</t>
  </si>
  <si>
    <t>Týniště n.O.</t>
  </si>
  <si>
    <t>Dvůr Králové n.L.</t>
  </si>
  <si>
    <t>Svoboda n.Ú.</t>
  </si>
  <si>
    <t>Rtyně v Podkrk.</t>
  </si>
  <si>
    <t>Stupeň státní správy</t>
  </si>
  <si>
    <t>www.obecmokre.cz</t>
  </si>
  <si>
    <t>posta@obecmokre.cz</t>
  </si>
  <si>
    <t>starostka</t>
  </si>
  <si>
    <t>Kučerová Blanka</t>
  </si>
  <si>
    <t>Dotace vyřizuje</t>
  </si>
  <si>
    <t>účetní</t>
  </si>
  <si>
    <t>Honsnejmanová Dagmar</t>
  </si>
  <si>
    <t>ucetni.mokre@seznam.cz</t>
  </si>
  <si>
    <t>Individuální dotace</t>
  </si>
  <si>
    <t>Ostatní krajské programy</t>
  </si>
  <si>
    <t>Program obnovy venkova</t>
  </si>
  <si>
    <t>dotace v Kč</t>
  </si>
  <si>
    <t>na 1 obyvatele</t>
  </si>
  <si>
    <t>na 1 ha plochy obce</t>
  </si>
  <si>
    <t>Celkem z rozpočtu KHK</t>
  </si>
  <si>
    <t>ÚP</t>
  </si>
  <si>
    <t>MŠ</t>
  </si>
  <si>
    <t>ZŠ</t>
  </si>
  <si>
    <t>hřbitov</t>
  </si>
  <si>
    <t>knihovna</t>
  </si>
  <si>
    <t>sportoviště</t>
  </si>
  <si>
    <t>ano</t>
  </si>
  <si>
    <t>ne</t>
  </si>
  <si>
    <t>hřiště - fotbal, nohejbal</t>
  </si>
  <si>
    <t>OBČANSKÁ VYBAVENOST</t>
  </si>
  <si>
    <t>Chomutičky, Obora</t>
  </si>
  <si>
    <t>Dolní Černůtky</t>
  </si>
  <si>
    <t>ou@obec-jilovice.cz</t>
  </si>
  <si>
    <t>jilovice@wo.cz</t>
  </si>
  <si>
    <t>starosta</t>
  </si>
  <si>
    <t>Ježek Václav</t>
  </si>
  <si>
    <t>724 179 750</t>
  </si>
  <si>
    <t>víceúčelové hřiště</t>
  </si>
  <si>
    <t>www.obec-jilovice.cz</t>
  </si>
  <si>
    <t>494 661 824</t>
  </si>
  <si>
    <t>Seidelová Zdeňka</t>
  </si>
  <si>
    <t>zdenka.seidelova@prepychy.cz</t>
  </si>
  <si>
    <t>448 obcí</t>
  </si>
  <si>
    <t>412x I., 21x II., 15x III.</t>
  </si>
  <si>
    <t>Beran Jiří</t>
  </si>
  <si>
    <t>ou.kuks@mkinet.cz</t>
  </si>
  <si>
    <t>www.kuks.cz</t>
  </si>
  <si>
    <t>Bartoušov, Dolany, Keteň, Labouň, Žitětín</t>
  </si>
  <si>
    <t>Náchodsko</t>
  </si>
  <si>
    <t>Kamenice</t>
  </si>
  <si>
    <t>Drahoraz, Ledkov, Mlýnec, Pševes</t>
  </si>
  <si>
    <t>5x</t>
  </si>
  <si>
    <t>15x</t>
  </si>
  <si>
    <t>36x</t>
  </si>
  <si>
    <t>48x</t>
  </si>
  <si>
    <t>Brtev, Dolní Javoří, Dolní Nová Ves, Horní Nová Ves, Hřídelec, Lány, Prostřední Nová Ves, Uhlíře</t>
  </si>
  <si>
    <t>Kozodírky, Křešice, Psinice, Zliv</t>
  </si>
  <si>
    <t>Dobšice, Malá Lhota, Malechovice, Meziluží, Nepřívěc, Podkost, RytířovaLhota, Vesec u Sobotky</t>
  </si>
  <si>
    <t>Březka, Jivany, Libunec</t>
  </si>
  <si>
    <t>Tereziny Dary</t>
  </si>
  <si>
    <t>Černín, Dobeš</t>
  </si>
  <si>
    <t>Hřmenín, Leština, Mrkvojedy, Netolice, Příchvoj, Rakov, Skuřina, Spařence</t>
  </si>
  <si>
    <t>Bacov, Hubojedy, Kozlov, Loveč, Pařízek, Roveň, Střeleč</t>
  </si>
  <si>
    <t>Mezihoří</t>
  </si>
  <si>
    <t>Domoslavice, Nové Smrkovice, Sylvárův Újezd</t>
  </si>
  <si>
    <t>Arnoštov, Bělá u Pecky, Bukovina u Pecky, Horní Javoří, Kal, Staňkov, Vidonice</t>
  </si>
  <si>
    <t>Čejkovice, Hlásná Lhota, Šlikova Ves, Vokšice</t>
  </si>
  <si>
    <t>(Dolní Podůlší, Horní Podůlší)</t>
  </si>
  <si>
    <t>Lháň, Podhájí, Studeňany, Tužín</t>
  </si>
  <si>
    <t>Betlem, Drštěkryje, Plhov, Všeliby</t>
  </si>
  <si>
    <t>Hrobičany, Velešice</t>
  </si>
  <si>
    <t>Milíčeves</t>
  </si>
  <si>
    <t>ROZPOČET</t>
  </si>
  <si>
    <t>Čálovice, Kdanice, Lavice, Spyšova, Staňkova Lhota, Stéblovice, Trní, Zajakury</t>
  </si>
  <si>
    <t>Brdo, Karlov, Krsmol, Roškopov, Ústí</t>
  </si>
  <si>
    <t>Batín, Nadslav, Štidla</t>
  </si>
  <si>
    <t>Kouty</t>
  </si>
  <si>
    <t>(+Malé Babice)</t>
  </si>
  <si>
    <t>(+Nové Hvozdnice)</t>
  </si>
  <si>
    <t>(+Opatov)</t>
  </si>
  <si>
    <t>(+Lišičky)</t>
  </si>
  <si>
    <t>(+Lhota)</t>
  </si>
  <si>
    <t>(+Podlesí)</t>
  </si>
  <si>
    <t>(+Zvínovská)</t>
  </si>
  <si>
    <t>(+Jahodná)</t>
  </si>
  <si>
    <t>(+Malá Jinolice)</t>
  </si>
  <si>
    <t>(+Trotinka)</t>
  </si>
  <si>
    <t>(+Letná)</t>
  </si>
  <si>
    <t>Heřmanice, Kumburský Újezd, Podlevín, Přibyslav, Pustá Proseč, Radkyně, Studénka, Štikov, Valdov, Vlkov, Vrchovina (+Zlámaniny)</t>
  </si>
  <si>
    <t>Dolní Rokytňany, Horní Rokytňany</t>
  </si>
  <si>
    <t>Bertoldka, Libín, Tikov</t>
  </si>
  <si>
    <t>Vidoň</t>
  </si>
  <si>
    <t>Ostrov, Vinice</t>
  </si>
  <si>
    <t>Hubálov</t>
  </si>
  <si>
    <t>Česká Proseč, Chloumek, Stav, Štěpanice, Zboží</t>
  </si>
  <si>
    <t>Bílsko, Únětice</t>
  </si>
  <si>
    <t>Chroustov</t>
  </si>
  <si>
    <t>Čímyšl, Hrdoňovice, Semínova Lhota</t>
  </si>
  <si>
    <t>Řeheč</t>
  </si>
  <si>
    <t>Vesec</t>
  </si>
  <si>
    <t>Stupná</t>
  </si>
  <si>
    <t>Stříbrnice</t>
  </si>
  <si>
    <t>Veselská Lhota</t>
  </si>
  <si>
    <t>Záhuby</t>
  </si>
  <si>
    <t>Březka, Cidlina, Doubravice, Pekloves, Těšín, Zámezí</t>
  </si>
  <si>
    <t>Hradíšťko, Vlhošť</t>
  </si>
  <si>
    <t>Dolní Adršpach, Horní Adršpach</t>
  </si>
  <si>
    <t>Studená Voda</t>
  </si>
  <si>
    <t>info@sovetice.cz</t>
  </si>
  <si>
    <t>Krátký Aleš</t>
  </si>
  <si>
    <t>starosta@sovetice.cz</t>
  </si>
  <si>
    <t>Běluň, Komárov, Proruby, Žďár</t>
  </si>
  <si>
    <t>Bohdašín, Horní Kostelec, Lhota za Červeným Kostelcem, Mstětín, Olešnice, Stolín</t>
  </si>
  <si>
    <t>Skalka, Vlásenka</t>
  </si>
  <si>
    <t>Čáslavky, Krabčice, Sebuč, Svinišťany</t>
  </si>
  <si>
    <t>Běluň, Brod, Slotov</t>
  </si>
  <si>
    <t>Janovičky</t>
  </si>
  <si>
    <t>Slavíkov</t>
  </si>
  <si>
    <t>Chlístov, Křižanov, Mečov, Nový Dvůr</t>
  </si>
  <si>
    <t>Malá Čermná, Rokytník, Velký Dřevíč, Zbečník, Žabokrky</t>
  </si>
  <si>
    <t>Kopaniny, Malá Bukovina, Miskolezy, Střeziměřice, Velká Bukovina, Výhled</t>
  </si>
  <si>
    <t>Lhotky, Trubějov</t>
  </si>
  <si>
    <t>Světlá, Újezdec</t>
  </si>
  <si>
    <t>Bělý, Machovská Lhota, Nízká Srbská</t>
  </si>
  <si>
    <t>Posadov</t>
  </si>
  <si>
    <t>Dolsko, Doubravice, Lhota, Městec</t>
  </si>
  <si>
    <t>Dlouhé, Krahulčí, Rzy</t>
  </si>
  <si>
    <t>Kleny, Šeřeč, Václavice</t>
  </si>
  <si>
    <t>Dolní Ples (t. Vodní Ples)</t>
  </si>
  <si>
    <t>Neznášov</t>
  </si>
  <si>
    <t>Doubravice u České Skalice, Zvole</t>
  </si>
  <si>
    <t>Blažkov</t>
  </si>
  <si>
    <t>Bystré, Horní Dřevíč, Chlívce, Vápenka</t>
  </si>
  <si>
    <t>Bakov, Řešetova Lhota, Starkoč, Třtice, Všeliby, Zblov</t>
  </si>
  <si>
    <t>Slavný</t>
  </si>
  <si>
    <t>Roztoky</t>
  </si>
  <si>
    <t>Hustířany</t>
  </si>
  <si>
    <t>Veselice, Volovka</t>
  </si>
  <si>
    <t>Závrchy, Zlíčko</t>
  </si>
  <si>
    <t>Horní Dolce, Rtyně, Vestec</t>
  </si>
  <si>
    <t>Rýzmburk</t>
  </si>
  <si>
    <t>Studín</t>
  </si>
  <si>
    <t>Hroška, Masty, Roudné</t>
  </si>
  <si>
    <t>Vanovka</t>
  </si>
  <si>
    <t>Bolehošťská Lhota, Lipiny</t>
  </si>
  <si>
    <t>Šachov</t>
  </si>
  <si>
    <t>Homole, Přestavlky, Rájec</t>
  </si>
  <si>
    <t>Domašín</t>
  </si>
  <si>
    <t>www.bartosovice.eu</t>
  </si>
  <si>
    <t>starosta@bartosovice.eu</t>
  </si>
  <si>
    <t>obecniurad@bartosovice.eu</t>
  </si>
  <si>
    <t>Kotanidis Kostas</t>
  </si>
  <si>
    <t>speciální</t>
  </si>
  <si>
    <t xml:space="preserve">lubos.tyls@mu.rokytnice.cz  </t>
  </si>
  <si>
    <t>místostarosta</t>
  </si>
  <si>
    <t>Tylš Luboš, Ing.</t>
  </si>
  <si>
    <t>Číčová, Korunka, Malá Čermná, Velká Čermná</t>
  </si>
  <si>
    <t>(+Neratov, Nová Ves, Podlesí, Vrchní Orlice)</t>
  </si>
  <si>
    <t>Skršice, Tošov</t>
  </si>
  <si>
    <t>Častolovické Horky</t>
  </si>
  <si>
    <t>Hlinné, Chmeliště, Kamenice, Rovné, Šediviny</t>
  </si>
  <si>
    <t>Běstviny, Domašin, Chábory, Křovice, Mělčany, Pulice, Spáleniště</t>
  </si>
  <si>
    <t>Vyhnánov</t>
  </si>
  <si>
    <t>Paseky</t>
  </si>
  <si>
    <t>Tis</t>
  </si>
  <si>
    <t>Koryta, Kostelecká Lhota, Kozodry</t>
  </si>
  <si>
    <t>Hluky, Nedvězí, Rozkoš, Šediviny</t>
  </si>
  <si>
    <t>Bělá, Hláska, Prorubky, Rampuše, Uhřínov</t>
  </si>
  <si>
    <t>Ostašovice, Radostovice</t>
  </si>
  <si>
    <t>Dlouhá Louka</t>
  </si>
  <si>
    <t>Městec</t>
  </si>
  <si>
    <t>Zákraví</t>
  </si>
  <si>
    <t>Hoděčín</t>
  </si>
  <si>
    <t>Čánka, Dobříkovec</t>
  </si>
  <si>
    <t>Lomy, Proloh, Sekyrka</t>
  </si>
  <si>
    <t>Chábory, Lhota Netřeba</t>
  </si>
  <si>
    <t>Brná</t>
  </si>
  <si>
    <t>Podchlumí</t>
  </si>
  <si>
    <t>Brocná, Debřece, Hraštice, Nová Ves, Rybníčky, Svinná</t>
  </si>
  <si>
    <t>Ještětice</t>
  </si>
  <si>
    <t>Suchá Rybná</t>
  </si>
  <si>
    <t>Jedlina</t>
  </si>
  <si>
    <t>Houdkovice, Zádolí, Záhornice</t>
  </si>
  <si>
    <t>Dubí</t>
  </si>
  <si>
    <t>Křivice, Petrovice, Petrovičky, Rašovice, Štěpánovsko</t>
  </si>
  <si>
    <t>Provoz</t>
  </si>
  <si>
    <t>Ježkovice, Nová Ves, Uhřínovice, Vojenice, Vyhnanice</t>
  </si>
  <si>
    <t>Chlínky</t>
  </si>
  <si>
    <t>Chotiv, Světlá</t>
  </si>
  <si>
    <t>Křenov</t>
  </si>
  <si>
    <t>Nové Lesy</t>
  </si>
  <si>
    <t>Čistá v Krkonoších, Fořt</t>
  </si>
  <si>
    <t>Slemeno</t>
  </si>
  <si>
    <t>Velehrádek, Zálesí</t>
  </si>
  <si>
    <t>Dolní Albeřice, Dolní Lysečiny, Horní Albeřice, Horní Lysečiny, Temný Důl</t>
  </si>
  <si>
    <t>Ždírnice</t>
  </si>
  <si>
    <t>Hvězda</t>
  </si>
  <si>
    <t>Petříkovice</t>
  </si>
  <si>
    <t>Nová Ves, Nové Kocbeře</t>
  </si>
  <si>
    <t>Kašov</t>
  </si>
  <si>
    <t>Horní Lánov, Prostřední Lánov</t>
  </si>
  <si>
    <t>Lhotka, Miřejov, Sedlec, Záborov</t>
  </si>
  <si>
    <t>Nouzov</t>
  </si>
  <si>
    <t>Dolní Malá Úpa, Horní Malá Úpa</t>
  </si>
  <si>
    <t>Odolov, Petrovice, Strážkovice</t>
  </si>
  <si>
    <t>Debrné, Souvrať, Zadní Mostek</t>
  </si>
  <si>
    <t>Dolní Nemojov, Horní Nemojov, Nový Nemojov, Starobucké Debrné</t>
  </si>
  <si>
    <t>Velká Úpa</t>
  </si>
  <si>
    <t>Dolní Staré Buky, Horní Staré Buky, Prostřední Staré Buky</t>
  </si>
  <si>
    <t>Bedřichov, Labská, Přední Labská</t>
  </si>
  <si>
    <t>Radeč</t>
  </si>
  <si>
    <t>Chotěborky</t>
  </si>
  <si>
    <t>Bukovina, Hájemství, Huntířov, Kocléřov, Komárov, Nové Záboří, Záboří</t>
  </si>
  <si>
    <t>Horní Vlčkovice, Dolní Vlčkovice</t>
  </si>
  <si>
    <t>Hořejší Vrchlabí, Podhůří</t>
  </si>
  <si>
    <t>pošta</t>
  </si>
  <si>
    <t>obec.proruby@tiscali.cz</t>
  </si>
  <si>
    <t>Malátek Karel</t>
  </si>
  <si>
    <t>www.proruby.webnode.cz</t>
  </si>
  <si>
    <t>www.prepychy.cz</t>
  </si>
  <si>
    <t>I.stupeň</t>
  </si>
  <si>
    <t>prepychy@prepychy.cz</t>
  </si>
  <si>
    <t>494 628 111, 724 025 975</t>
  </si>
  <si>
    <t>(+ Hradčany, Malá Strana)</t>
  </si>
  <si>
    <r>
      <t xml:space="preserve">Benešov, </t>
    </r>
    <r>
      <rPr>
        <i/>
        <sz val="10"/>
        <color indexed="63"/>
        <rFont val="Arial Narrow"/>
        <family val="2"/>
        <charset val="238"/>
      </rPr>
      <t>Nové Město, Olivětín,</t>
    </r>
    <r>
      <rPr>
        <sz val="10"/>
        <color indexed="63"/>
        <rFont val="Arial Narrow"/>
        <family val="2"/>
        <charset val="238"/>
      </rPr>
      <t xml:space="preserve"> </t>
    </r>
    <r>
      <rPr>
        <i/>
        <sz val="10"/>
        <color indexed="63"/>
        <rFont val="Arial Narrow"/>
        <family val="2"/>
        <charset val="238"/>
      </rPr>
      <t>Poříčí</t>
    </r>
    <r>
      <rPr>
        <sz val="10"/>
        <color indexed="63"/>
        <rFont val="Arial Narrow"/>
        <family val="2"/>
        <charset val="238"/>
      </rPr>
      <t xml:space="preserve">, Rožmitál, </t>
    </r>
    <r>
      <rPr>
        <i/>
        <sz val="10"/>
        <color indexed="63"/>
        <rFont val="Arial Narrow"/>
        <family val="2"/>
        <charset val="238"/>
      </rPr>
      <t>Velká Ves</t>
    </r>
  </si>
  <si>
    <r>
      <t xml:space="preserve">Cihelny, Dolní Dolce, </t>
    </r>
    <r>
      <rPr>
        <i/>
        <sz val="10"/>
        <color indexed="63"/>
        <rFont val="Arial Narrow"/>
        <family val="2"/>
        <charset val="238"/>
      </rPr>
      <t>Jakubské Předměstí</t>
    </r>
    <r>
      <rPr>
        <sz val="10"/>
        <color indexed="63"/>
        <rFont val="Arial Narrow"/>
        <family val="2"/>
        <charset val="238"/>
      </rPr>
      <t>, Jezbiny, Josefov,</t>
    </r>
    <r>
      <rPr>
        <i/>
        <sz val="10"/>
        <color indexed="63"/>
        <rFont val="Arial Narrow"/>
        <family val="2"/>
        <charset val="238"/>
      </rPr>
      <t xml:space="preserve"> Pražské Předměstí</t>
    </r>
    <r>
      <rPr>
        <sz val="10"/>
        <color indexed="63"/>
        <rFont val="Arial Narrow"/>
        <family val="2"/>
        <charset val="238"/>
      </rPr>
      <t>, Semonice, Starý Ples</t>
    </r>
  </si>
  <si>
    <r>
      <t xml:space="preserve">Adamov, Babí, Bohuslavice, Bojiště, </t>
    </r>
    <r>
      <rPr>
        <i/>
        <sz val="10"/>
        <color indexed="63"/>
        <rFont val="Arial Narrow"/>
        <family val="2"/>
        <charset val="238"/>
      </rPr>
      <t>Dolní Předměstí</t>
    </r>
    <r>
      <rPr>
        <sz val="10"/>
        <color indexed="63"/>
        <rFont val="Arial Narrow"/>
        <family val="2"/>
        <charset val="238"/>
      </rPr>
      <t xml:space="preserve">, </t>
    </r>
    <r>
      <rPr>
        <i/>
        <sz val="10"/>
        <color indexed="63"/>
        <rFont val="Arial Narrow"/>
        <family val="2"/>
        <charset val="238"/>
      </rPr>
      <t>Dolní Staré Město,</t>
    </r>
    <r>
      <rPr>
        <sz val="10"/>
        <color indexed="63"/>
        <rFont val="Arial Narrow"/>
        <family val="2"/>
        <charset val="238"/>
      </rPr>
      <t xml:space="preserve"> </t>
    </r>
    <r>
      <rPr>
        <i/>
        <sz val="10"/>
        <color indexed="63"/>
        <rFont val="Arial Narrow"/>
        <family val="2"/>
        <charset val="238"/>
      </rPr>
      <t>Horní Předměstí</t>
    </r>
    <r>
      <rPr>
        <sz val="10"/>
        <color indexed="63"/>
        <rFont val="Arial Narrow"/>
        <family val="2"/>
        <charset val="238"/>
      </rPr>
      <t>,</t>
    </r>
    <r>
      <rPr>
        <i/>
        <sz val="10"/>
        <color indexed="63"/>
        <rFont val="Arial Narrow"/>
        <family val="2"/>
        <charset val="238"/>
      </rPr>
      <t xml:space="preserve"> Horní Staré Město, Kryblice, </t>
    </r>
    <r>
      <rPr>
        <sz val="10"/>
        <color indexed="63"/>
        <rFont val="Arial Narrow"/>
        <family val="2"/>
        <charset val="238"/>
      </rPr>
      <t xml:space="preserve">Lhota, Libeč, Nový Rokytník, Oblanov, </t>
    </r>
    <r>
      <rPr>
        <i/>
        <sz val="10"/>
        <color indexed="63"/>
        <rFont val="Arial Narrow"/>
        <family val="2"/>
        <charset val="238"/>
      </rPr>
      <t>Poříčí</t>
    </r>
    <r>
      <rPr>
        <sz val="10"/>
        <color indexed="63"/>
        <rFont val="Arial Narrow"/>
        <family val="2"/>
        <charset val="238"/>
      </rPr>
      <t xml:space="preserve">, Starý Rokytník, </t>
    </r>
    <r>
      <rPr>
        <i/>
        <sz val="10"/>
        <color indexed="63"/>
        <rFont val="Arial Narrow"/>
        <family val="2"/>
        <charset val="238"/>
      </rPr>
      <t>Střední Předměstí</t>
    </r>
    <r>
      <rPr>
        <sz val="10"/>
        <color indexed="63"/>
        <rFont val="Arial Narrow"/>
        <family val="2"/>
        <charset val="238"/>
      </rPr>
      <t xml:space="preserve">, Střítež, Studenec, </t>
    </r>
    <r>
      <rPr>
        <i/>
        <sz val="10"/>
        <color indexed="63"/>
        <rFont val="Arial Narrow"/>
        <family val="2"/>
        <charset val="238"/>
      </rPr>
      <t>Vnitní Město,</t>
    </r>
    <r>
      <rPr>
        <sz val="10"/>
        <color indexed="63"/>
        <rFont val="Arial Narrow"/>
        <family val="2"/>
        <charset val="238"/>
      </rPr>
      <t xml:space="preserve"> Volanov, Voletiny</t>
    </r>
  </si>
  <si>
    <r>
      <rPr>
        <i/>
        <sz val="10"/>
        <color indexed="63"/>
        <rFont val="Arial Narrow"/>
        <family val="2"/>
        <charset val="238"/>
      </rPr>
      <t>Malá Skalice</t>
    </r>
    <r>
      <rPr>
        <sz val="10"/>
        <color indexed="63"/>
        <rFont val="Arial Narrow"/>
        <family val="2"/>
        <charset val="238"/>
      </rPr>
      <t>, Ratibořice, Spyta, Zájezd, Zlíč</t>
    </r>
  </si>
  <si>
    <r>
      <rPr>
        <i/>
        <sz val="10"/>
        <color indexed="63"/>
        <rFont val="Arial Narrow"/>
        <family val="2"/>
        <charset val="238"/>
      </rPr>
      <t>Babí,</t>
    </r>
    <r>
      <rPr>
        <sz val="10"/>
        <color indexed="63"/>
        <rFont val="Arial Narrow"/>
        <family val="2"/>
        <charset val="238"/>
      </rPr>
      <t xml:space="preserve"> </t>
    </r>
    <r>
      <rPr>
        <i/>
        <sz val="10"/>
        <color indexed="63"/>
        <rFont val="Arial Narrow"/>
        <family val="2"/>
        <charset val="238"/>
      </rPr>
      <t>Běloves</t>
    </r>
    <r>
      <rPr>
        <sz val="10"/>
        <color indexed="63"/>
        <rFont val="Arial Narrow"/>
        <family val="2"/>
        <charset val="238"/>
      </rPr>
      <t xml:space="preserve">, Bražec, Dobrošov, Jizbice, Lipí, Malé Poříčí, Pavlišov, </t>
    </r>
    <r>
      <rPr>
        <i/>
        <sz val="10"/>
        <color indexed="63"/>
        <rFont val="Arial Narrow"/>
        <family val="2"/>
        <charset val="238"/>
      </rPr>
      <t>Staré Město nad Metují</t>
    </r>
  </si>
  <si>
    <t>Březová, Pomeznice, Ruprechtice, Starostín, Vižňov</t>
  </si>
  <si>
    <r>
      <rPr>
        <i/>
        <sz val="10"/>
        <color indexed="63"/>
        <rFont val="Arial Narrow"/>
        <family val="2"/>
        <charset val="238"/>
      </rPr>
      <t>Krčín,</t>
    </r>
    <r>
      <rPr>
        <sz val="10"/>
        <color indexed="63"/>
        <rFont val="Arial Narrow"/>
        <family val="2"/>
        <charset val="238"/>
      </rPr>
      <t xml:space="preserve"> Spy, Vrchoviny</t>
    </r>
  </si>
  <si>
    <t>Lukeš Vladimír</t>
  </si>
  <si>
    <t>starosta@chotevice.cz</t>
  </si>
  <si>
    <t>www.chotevice.cz</t>
  </si>
  <si>
    <t xml:space="preserve">obec.chotevice@tiscali.cz </t>
  </si>
  <si>
    <t>Bohdašín, Dědov, Horní Teplice, Dolní Teplice, Javor, Lachov, Libná, Skály, Zdoňov</t>
  </si>
  <si>
    <t>(+Černá Hora)</t>
  </si>
  <si>
    <t>Horní Rybníky, Končiny</t>
  </si>
  <si>
    <t>Enderlová Máša</t>
  </si>
  <si>
    <t>obec@dohalice.cz</t>
  </si>
  <si>
    <t>ou@mokrovousy.cz</t>
  </si>
  <si>
    <t>www.obec-sadova.cz</t>
  </si>
  <si>
    <t>ousadova@nechanicko.cz</t>
  </si>
  <si>
    <t>Falta Drahoslav, Ing.</t>
  </si>
  <si>
    <t>Frydrychová Iva, Ing.</t>
  </si>
  <si>
    <t>Moravec Martin, Mgr.</t>
  </si>
  <si>
    <t>vedoucí oddělení investičního rozvoje</t>
  </si>
  <si>
    <t>Zeman Rostislav</t>
  </si>
  <si>
    <t>zeman@chlumecnc.cz</t>
  </si>
  <si>
    <t>Uchytil Miroslav, Ing.</t>
  </si>
  <si>
    <t>starosta@chlumecnc.cz</t>
  </si>
  <si>
    <t>www.chlumecnc.cz</t>
  </si>
  <si>
    <t>investiční referent</t>
  </si>
  <si>
    <t>Zívr Martin, Bc.</t>
  </si>
  <si>
    <t>www.lazne-belohrad.cz</t>
  </si>
  <si>
    <t>zivr@lazne-belohrad.cz</t>
  </si>
  <si>
    <t>subr@lazne-belohrad.cz</t>
  </si>
  <si>
    <t>www.zdarnadmetuji.cz</t>
  </si>
  <si>
    <t>obec@zdarnadmetuji.cz</t>
  </si>
  <si>
    <t>obec.zdarnm@tiscali.cz</t>
  </si>
  <si>
    <t>Šubíř Pavel</t>
  </si>
  <si>
    <t>Freibergerová Radka</t>
  </si>
  <si>
    <t>albrechtice@nadorlici.cz</t>
  </si>
  <si>
    <t>obec.babice@seznam.cz</t>
  </si>
  <si>
    <t>Homola Petr</t>
  </si>
  <si>
    <t>obec@barchov.cz</t>
  </si>
  <si>
    <t>Vlachý Ladislav, Mgr.</t>
  </si>
  <si>
    <t>belec@wo.cz</t>
  </si>
  <si>
    <t>Hemelík Pavel, Mgr.</t>
  </si>
  <si>
    <t>Bouček Tomáš</t>
  </si>
  <si>
    <t>starosta@benatkynb.cz</t>
  </si>
  <si>
    <t>starosta@blesno.cz</t>
  </si>
  <si>
    <t>Kopelent Jan</t>
  </si>
  <si>
    <t>Macháčková Věra, JUDr.</t>
  </si>
  <si>
    <t>ouboharyne@volny.cz</t>
  </si>
  <si>
    <t>Javůrek Stanislav, Ing.</t>
  </si>
  <si>
    <t>starosta@cernilov.cz</t>
  </si>
  <si>
    <t>cernozice@iol.cz</t>
  </si>
  <si>
    <t>Kotěra Jaromír</t>
  </si>
  <si>
    <t>obec.cisteves@seznam.cz</t>
  </si>
  <si>
    <t>Zykl Miloslav, Ing.</t>
  </si>
  <si>
    <t>divec@seznam.cz</t>
  </si>
  <si>
    <t>Hrnčíř Roman, Ing.</t>
  </si>
  <si>
    <t>dobrenice@volny.cz</t>
  </si>
  <si>
    <t>Gabriel Vladimír</t>
  </si>
  <si>
    <t>obec@dolni-prim.cz</t>
  </si>
  <si>
    <t>Švasta Petr</t>
  </si>
  <si>
    <t>Vránová Hana, Mgr.</t>
  </si>
  <si>
    <t>ou.habrina@centrum.cz</t>
  </si>
  <si>
    <t>obec.hlusice@seznam.cz</t>
  </si>
  <si>
    <t>Trejbal Jaromír</t>
  </si>
  <si>
    <t>starosta@hnevceves.cz</t>
  </si>
  <si>
    <t>Hladíková Renata</t>
  </si>
  <si>
    <t>Malínský Miloš</t>
  </si>
  <si>
    <t>ou.holohlavy@iol.cz</t>
  </si>
  <si>
    <t>Kuthanová Jana</t>
  </si>
  <si>
    <t>ou@horineves.cz</t>
  </si>
  <si>
    <t>primator@mmhk.cz</t>
  </si>
  <si>
    <t>Fink Zdeněk, MUDr.</t>
  </si>
  <si>
    <t>primátor</t>
  </si>
  <si>
    <t>ou@hradek-u-nechanic.cz</t>
  </si>
  <si>
    <t>Danda Filip</t>
  </si>
  <si>
    <t>obec.humburky@seznam.cz</t>
  </si>
  <si>
    <t>Pešek Lubomír</t>
  </si>
  <si>
    <t>obec@hvozdnice.cz</t>
  </si>
  <si>
    <t>Klazar Jindřich</t>
  </si>
  <si>
    <t>mesto@chlumecnc.cz</t>
  </si>
  <si>
    <t>chuderice.ou@seznam.cz</t>
  </si>
  <si>
    <t>Veselý Miloš, Ing.</t>
  </si>
  <si>
    <t>jenikovice@wo.cz</t>
  </si>
  <si>
    <t>Kosařová Lenka, Ing.</t>
  </si>
  <si>
    <t>karanice@seznam.cz</t>
  </si>
  <si>
    <t>Svoboda Vladimír</t>
  </si>
  <si>
    <t>klamos@iol.cz</t>
  </si>
  <si>
    <t>Věříš Bohuslav</t>
  </si>
  <si>
    <t>kobylice@volny.cz</t>
  </si>
  <si>
    <t>Husar Kamil, MgA.</t>
  </si>
  <si>
    <t>obec@kosice.cz</t>
  </si>
  <si>
    <t>Ornst Milan, Ing.</t>
  </si>
  <si>
    <t>obec.kosicky@volny.cz</t>
  </si>
  <si>
    <t>Klecar Josef, Ing.</t>
  </si>
  <si>
    <t>ou.kraliky@tiscali.cz</t>
  </si>
  <si>
    <t>Pohl Tomáš</t>
  </si>
  <si>
    <t>starosta@kratonohy.cz</t>
  </si>
  <si>
    <t>Štěpánek Jiří</t>
  </si>
  <si>
    <t>Kvasnička Květoslav</t>
  </si>
  <si>
    <t>kuncice@nechanicko.cz</t>
  </si>
  <si>
    <t>Dědek Milan</t>
  </si>
  <si>
    <t>ou.ledce@seznam.cz</t>
  </si>
  <si>
    <t>Jílek Martin</t>
  </si>
  <si>
    <t>obec.lejsovka@tiscali.cz</t>
  </si>
  <si>
    <t>www.lhotapodlibcany.cz</t>
  </si>
  <si>
    <t>oulhota@iol.cz</t>
  </si>
  <si>
    <t>Cvrček Petr, Mgr.</t>
  </si>
  <si>
    <t>jaroslava.slavikova@libcany.cz</t>
  </si>
  <si>
    <t>Slavíková Jaroslava</t>
  </si>
  <si>
    <t>starosta@libnikovice.cz</t>
  </si>
  <si>
    <t>Čistý Miloš, Ing.</t>
  </si>
  <si>
    <t>oulibrantice@volny.cz</t>
  </si>
  <si>
    <t>Hladíková Alena</t>
  </si>
  <si>
    <t>obec.librice@tiscali.cz</t>
  </si>
  <si>
    <t>Hynková Eva</t>
  </si>
  <si>
    <t>ou.lisice@seznam.cz</t>
  </si>
  <si>
    <t>Kolenčík Pavel</t>
  </si>
  <si>
    <t>oulodin@mybox.cz</t>
  </si>
  <si>
    <t>Lajbner Petr</t>
  </si>
  <si>
    <t>lochenice@iol.cz</t>
  </si>
  <si>
    <t>Kulhánková Jitka, Mgr.</t>
  </si>
  <si>
    <t>Petrovická Petra, Ing.</t>
  </si>
  <si>
    <t>starosta@lovcice.eu</t>
  </si>
  <si>
    <t>Válek Jiří</t>
  </si>
  <si>
    <t>luzanynt@volny.cz</t>
  </si>
  <si>
    <t>DrahokoupilPetr@seznam.cz</t>
  </si>
  <si>
    <t>Drahokoupil Petr, Ing.</t>
  </si>
  <si>
    <t>obec@maslojedy.cz</t>
  </si>
  <si>
    <t>Karešová Blanka, MVDr.</t>
  </si>
  <si>
    <t>ou@menik.cz</t>
  </si>
  <si>
    <t>Dymešová Jana</t>
  </si>
  <si>
    <t>obec.mlekosrby@seznam.cz</t>
  </si>
  <si>
    <t>Ešner Jiří</t>
  </si>
  <si>
    <t xml:space="preserve">(+Dříš, Jedlová v O.h., Mnichová, Plasnice, Zákoutí) </t>
  </si>
  <si>
    <t>na rozpočtu obce 2012-2016</t>
  </si>
  <si>
    <t>podíl dotací KHK</t>
  </si>
  <si>
    <t>(+Lužany)</t>
  </si>
  <si>
    <t>(+Bedřichovka, Černá Voda, Jadrná, Kunštát, Trčkov, Zelenka)</t>
  </si>
  <si>
    <t>(+Roheničky)</t>
  </si>
  <si>
    <t>Dlouhá Ves, Jámy, Lipovka, Litohrady, Lokot, Panská Habrová, Roveň (+Končiny, Městská Habrová)</t>
  </si>
  <si>
    <t>(+Kačerov, Kunčina Ves, Souvlastní, Zdobnička)</t>
  </si>
  <si>
    <t>k investicím obce 2012-2016</t>
  </si>
  <si>
    <t>Sobotka Jan, Ing.</t>
  </si>
  <si>
    <t>sobotkajan@muvrchlabi.cz</t>
  </si>
  <si>
    <t>Pečenková Jana</t>
  </si>
  <si>
    <t>Vašina Josef</t>
  </si>
  <si>
    <t>mysteves@volny.cz</t>
  </si>
  <si>
    <t>ou.mzany@tiscali.cz</t>
  </si>
  <si>
    <t>Valena Tomáš</t>
  </si>
  <si>
    <t>Podlipný Luboš, Ing.</t>
  </si>
  <si>
    <t>nedeliste@seznam.cz</t>
  </si>
  <si>
    <t>Pechar Jiří</t>
  </si>
  <si>
    <t>starosta@nechanice.cz</t>
  </si>
  <si>
    <t>Šustr Dušan, Ing.</t>
  </si>
  <si>
    <t>Horyna Vladimír</t>
  </si>
  <si>
    <t>posta@obecnovemesto.cz</t>
  </si>
  <si>
    <t>Louda Pavel, Ing.</t>
  </si>
  <si>
    <t>louda@novybydzov.cz</t>
  </si>
  <si>
    <t>Klapka Petr, Ing.</t>
  </si>
  <si>
    <t>obec@obedovice.cz</t>
  </si>
  <si>
    <t>Jiříčková Petra, Ing.</t>
  </si>
  <si>
    <t>obec.ohnistany@seznam.cz</t>
  </si>
  <si>
    <t>urad@olesnice-nad-cidlinou.cz</t>
  </si>
  <si>
    <t>Outlý Jan, PhDr., PhD.</t>
  </si>
  <si>
    <t>správce obce</t>
  </si>
  <si>
    <t>Šťastný Jan, JUDr.</t>
  </si>
  <si>
    <t>ou@osice.cz</t>
  </si>
  <si>
    <t>Dostálová Štěpánka</t>
  </si>
  <si>
    <t>obec@osicky.cz</t>
  </si>
  <si>
    <t>50355.Petrovice@email.cz</t>
  </si>
  <si>
    <t>Žilka Luboš, Mgr.</t>
  </si>
  <si>
    <t>Kučera Miroslav</t>
  </si>
  <si>
    <t>obec.prasek@volny.cz</t>
  </si>
  <si>
    <t>Myška Jaroslav</t>
  </si>
  <si>
    <t xml:space="preserve">Marková Stanislava </t>
  </si>
  <si>
    <t>predmerice@iol.cz</t>
  </si>
  <si>
    <t>Podnecký Miroslav, Ing.</t>
  </si>
  <si>
    <t>ouprevysov@seznam.cz</t>
  </si>
  <si>
    <t>ou.psanky@seznam.cz</t>
  </si>
  <si>
    <t>Puchlovice@email.cz</t>
  </si>
  <si>
    <t>Pavlíček Josef</t>
  </si>
  <si>
    <t>Slovák Milan</t>
  </si>
  <si>
    <t>obec@racicenadtrotinou.cz</t>
  </si>
  <si>
    <t>radikovice@volny.cz</t>
  </si>
  <si>
    <t>Vondráček Martin, Ing.</t>
  </si>
  <si>
    <t>Vašáková Eva</t>
  </si>
  <si>
    <t>obec@radostov.cz</t>
  </si>
  <si>
    <t>obec@sloupno.cz</t>
  </si>
  <si>
    <t>ouroudnice@iol.cz</t>
  </si>
  <si>
    <t>Kněžour Svatopluk, Bc.</t>
  </si>
  <si>
    <t>Matěna František</t>
  </si>
  <si>
    <t>ou@sendrazice.cz</t>
  </si>
  <si>
    <t>obec.skalice@tiscali.cz</t>
  </si>
  <si>
    <t>Karpíšek Milan</t>
  </si>
  <si>
    <t>Hálová Karolína, DiS.</t>
  </si>
  <si>
    <t>Půš Karel, Mgr.</t>
  </si>
  <si>
    <t>Draštíková Dana</t>
  </si>
  <si>
    <t>starosta@smidary.cz</t>
  </si>
  <si>
    <t>Tuzar Luboš</t>
  </si>
  <si>
    <t>starosta@mestosmirice.cz</t>
  </si>
  <si>
    <t>Machát Jan, Ing.</t>
  </si>
  <si>
    <t>info@smrzov.cz</t>
  </si>
  <si>
    <t>Morávek Libor</t>
  </si>
  <si>
    <t>libor.6@seznam.cz</t>
  </si>
  <si>
    <t>Žilka Martin, Bc.</t>
  </si>
  <si>
    <t>ousb@seznam.cz</t>
  </si>
  <si>
    <t>Smetiprachová Dagmar, Ing.</t>
  </si>
  <si>
    <t>obec@stezery.cz</t>
  </si>
  <si>
    <t>Homoláč Luděk, Ing. et Ing.</t>
  </si>
  <si>
    <t>starosta@stracov.cz</t>
  </si>
  <si>
    <t>Slánek Radim</t>
  </si>
  <si>
    <t>obec@strezetice.cz</t>
  </si>
  <si>
    <t>Saláková Šafková Martina, Ing.</t>
  </si>
  <si>
    <t>obec@sveti.cz</t>
  </si>
  <si>
    <t>Žalský Jaroslav</t>
  </si>
  <si>
    <t>ou.syrovatka@c-box.cz</t>
  </si>
  <si>
    <t>Šafka František</t>
  </si>
  <si>
    <t>saplava@volny.cz</t>
  </si>
  <si>
    <t>Švadlenková Naděžda</t>
  </si>
  <si>
    <t>ou-techlovice@seznam.cz</t>
  </si>
  <si>
    <t>jiri.nemec@mutrebechovice.cz</t>
  </si>
  <si>
    <t>Němec Jiří, Ing.</t>
  </si>
  <si>
    <t>Mrkvička Pavel, Bc.</t>
  </si>
  <si>
    <t>obec.tresovice@tiscali.cz</t>
  </si>
  <si>
    <t>Kratochvíl Pavel</t>
  </si>
  <si>
    <t>Holmanová Štěpánka, Ing.</t>
  </si>
  <si>
    <t>vinary@seznam.cz</t>
  </si>
  <si>
    <t>Štěrba Stanislav, Ing.</t>
  </si>
  <si>
    <t>starosta@vrchovnice.cz</t>
  </si>
  <si>
    <t>Derner Michal, Ing.</t>
  </si>
  <si>
    <t>urad@vsestary-obec.cz</t>
  </si>
  <si>
    <t>Konečný Michal</t>
  </si>
  <si>
    <t>obec.vyrava@tiscali.cz</t>
  </si>
  <si>
    <t>Horák Jiří, Ing.</t>
  </si>
  <si>
    <t>starosta@vysoka-nad-labem.cz</t>
  </si>
  <si>
    <t>Havel Tomáš</t>
  </si>
  <si>
    <t>Nováková Monika</t>
  </si>
  <si>
    <t>ouzach@tiscali.cz</t>
  </si>
  <si>
    <t>Pečinka Vítězslav</t>
  </si>
  <si>
    <t>obec.zdechovice@seznam.cz</t>
  </si>
  <si>
    <t>(+Nové Zámky, Vestřev)</t>
  </si>
  <si>
    <t>partner</t>
  </si>
  <si>
    <t>výdejní místo</t>
  </si>
  <si>
    <t>Lipnice, Verdek, Zboží, Žírecká Podstráň, Žireč (+Podháj)</t>
  </si>
  <si>
    <t>(+Dolní Vernéřovice, Hodkovice, Horní Vernéřovice, Janovice, Studnice)</t>
  </si>
  <si>
    <t>(+Kladruby, Vyhnánov)</t>
  </si>
  <si>
    <t>Arnultovice, Javorník</t>
  </si>
  <si>
    <t>(+Slavětín)</t>
  </si>
  <si>
    <t>(+Dolní Maršov)</t>
  </si>
  <si>
    <t>(+Hrádeček)</t>
  </si>
  <si>
    <r>
      <t xml:space="preserve">Bobr, Prkenný Důl </t>
    </r>
    <r>
      <rPr>
        <sz val="10"/>
        <color indexed="23"/>
        <rFont val="Arial Narrow"/>
        <family val="2"/>
        <charset val="238"/>
      </rPr>
      <t>(+Vernířovice), (+Černá Voda, Rýchory)</t>
    </r>
  </si>
  <si>
    <r>
      <rPr>
        <i/>
        <sz val="10"/>
        <color indexed="63"/>
        <rFont val="Arial Narrow"/>
        <family val="2"/>
        <charset val="238"/>
      </rPr>
      <t>Březhrad, Kukleny</t>
    </r>
    <r>
      <rPr>
        <sz val="10"/>
        <color indexed="63"/>
        <rFont val="Arial Narrow"/>
        <family val="2"/>
        <charset val="238"/>
      </rPr>
      <t xml:space="preserve">, Malšova Lhota, </t>
    </r>
    <r>
      <rPr>
        <i/>
        <sz val="10"/>
        <color indexed="63"/>
        <rFont val="Arial Narrow"/>
        <family val="2"/>
        <charset val="238"/>
      </rPr>
      <t>Malšovice, Moravské Předměstí, Nový Hradec Králové</t>
    </r>
    <r>
      <rPr>
        <sz val="10"/>
        <color indexed="23"/>
        <rFont val="Arial Narrow"/>
        <family val="2"/>
        <charset val="238"/>
      </rPr>
      <t xml:space="preserve"> (+Kluky)</t>
    </r>
    <r>
      <rPr>
        <i/>
        <sz val="10"/>
        <color indexed="63"/>
        <rFont val="Arial Narrow"/>
        <family val="2"/>
        <charset val="238"/>
      </rPr>
      <t>,</t>
    </r>
    <r>
      <rPr>
        <sz val="10"/>
        <color indexed="63"/>
        <rFont val="Arial Narrow"/>
        <family val="2"/>
        <charset val="238"/>
      </rPr>
      <t xml:space="preserve"> Piletice, Plácky, Plačice, Plotiště nad Labem, Pouchov, </t>
    </r>
    <r>
      <rPr>
        <i/>
        <sz val="10"/>
        <color indexed="63"/>
        <rFont val="Arial Narrow"/>
        <family val="2"/>
        <charset val="238"/>
      </rPr>
      <t>Pražské Předměstí,</t>
    </r>
    <r>
      <rPr>
        <sz val="10"/>
        <color indexed="63"/>
        <rFont val="Arial Narrow"/>
        <family val="2"/>
        <charset val="238"/>
      </rPr>
      <t xml:space="preserve"> Roudnička, Rusek, Slatina, </t>
    </r>
    <r>
      <rPr>
        <i/>
        <sz val="10"/>
        <color indexed="63"/>
        <rFont val="Arial Narrow"/>
        <family val="2"/>
        <charset val="238"/>
      </rPr>
      <t>Slezské Předměstí,</t>
    </r>
    <r>
      <rPr>
        <sz val="10"/>
        <color indexed="63"/>
        <rFont val="Arial Narrow"/>
        <family val="2"/>
        <charset val="238"/>
      </rPr>
      <t xml:space="preserve"> Svinary, Svobodné Dvory, Třebeš, Věkoše </t>
    </r>
    <r>
      <rPr>
        <sz val="10"/>
        <color indexed="23"/>
        <rFont val="Arial Narrow"/>
        <family val="2"/>
        <charset val="238"/>
      </rPr>
      <t>(+Správčice)</t>
    </r>
  </si>
  <si>
    <t>Kaprasová Pavlína, Ing.</t>
  </si>
  <si>
    <t>bacalky@centrum.cz</t>
  </si>
  <si>
    <t>Frýdl Martin</t>
  </si>
  <si>
    <t>basnice@podchlumi.cz</t>
  </si>
  <si>
    <t>Vobr Bohumil</t>
  </si>
  <si>
    <t>obec@bechary.cz</t>
  </si>
  <si>
    <t>obec.bilsko@c-box.cz</t>
  </si>
  <si>
    <t>Rozsévačová Hana</t>
  </si>
  <si>
    <t>Heligr Milan</t>
  </si>
  <si>
    <t>milan.heligr@quick.cz</t>
  </si>
  <si>
    <t>Holeček Petr</t>
  </si>
  <si>
    <t>borek.ou@tiscali.cz</t>
  </si>
  <si>
    <t>Svoboda Petr, Ing.</t>
  </si>
  <si>
    <t>obec@brada-rybnicek.cz</t>
  </si>
  <si>
    <t>Valenta Libor</t>
  </si>
  <si>
    <t>brezina.ou@seznam.cz</t>
  </si>
  <si>
    <t>Dostál Jaroslav</t>
  </si>
  <si>
    <t>obecbristany@seznam.cz</t>
  </si>
  <si>
    <t>Otava Marian</t>
  </si>
  <si>
    <t>obecbudceves@quick.cz</t>
  </si>
  <si>
    <t>Formanová Eliška</t>
  </si>
  <si>
    <t>bukvice@tiscali.cz</t>
  </si>
  <si>
    <t>Zach Bohumil</t>
  </si>
  <si>
    <t>Sálová Vlková Martina</t>
  </si>
  <si>
    <t>ou.bystrice@seznam.cz</t>
  </si>
  <si>
    <t>starosta@cerekvice.cz</t>
  </si>
  <si>
    <t>Tobolka Milan</t>
  </si>
  <si>
    <t>Bičiště Josef, Ing.</t>
  </si>
  <si>
    <t>ouct@c-mail.cz</t>
  </si>
  <si>
    <t>Kořínek Vladimír</t>
  </si>
  <si>
    <t>cesov@tiscali.cz</t>
  </si>
  <si>
    <t>Vališka Radomír, Ing.</t>
  </si>
  <si>
    <t>detenice@iol.cz</t>
  </si>
  <si>
    <t>Lev Ivan</t>
  </si>
  <si>
    <t>ivan.lev@seznam.cz</t>
  </si>
  <si>
    <t>Němečková Jana, Mgr.</t>
  </si>
  <si>
    <t>oudobravoda@tiscali.cz</t>
  </si>
  <si>
    <t>Obitková Markéta, Ing.</t>
  </si>
  <si>
    <t>Vrabec Dušan, Mgr.</t>
  </si>
  <si>
    <t>ou.drevenice@tiscali.cz</t>
  </si>
  <si>
    <t>Sádlo Radomír, Ing.</t>
  </si>
  <si>
    <t>obecholin@quick.cz</t>
  </si>
  <si>
    <t>Svoboda Aleš</t>
  </si>
  <si>
    <t>svoboda@horice.org</t>
  </si>
  <si>
    <t>Brádlová Zlatuše</t>
  </si>
  <si>
    <t>bradlovaz@seznam.cz</t>
  </si>
  <si>
    <t>Komárková Romana</t>
  </si>
  <si>
    <t>urad@cholenice.cz</t>
  </si>
  <si>
    <t>Rajm Zdeněk</t>
  </si>
  <si>
    <t>starosta@chomutice.cz</t>
  </si>
  <si>
    <t>obec@chotec.cz</t>
  </si>
  <si>
    <t>Groh Ladislav</t>
  </si>
  <si>
    <t>Košťák Milan</t>
  </si>
  <si>
    <t>chyjice@atlas.cz</t>
  </si>
  <si>
    <t>ou.jerice@cmail.cz</t>
  </si>
  <si>
    <t>www.obecjerice.cz</t>
  </si>
  <si>
    <t>Malý Jan, JUDr.</t>
  </si>
  <si>
    <t>maly@mujicin.cz</t>
  </si>
  <si>
    <t>obec@jicineves.cz</t>
  </si>
  <si>
    <t>Mlejnek Jaroslav</t>
  </si>
  <si>
    <t>Kozák Stanislav</t>
  </si>
  <si>
    <t>jinolice@tiscali.cz</t>
  </si>
  <si>
    <t>Pokorný Rudolf</t>
  </si>
  <si>
    <t>kacakovalhota@seznam.cz</t>
  </si>
  <si>
    <t>Michalčíková Dagmar</t>
  </si>
  <si>
    <t>oukbelnice@seznam.cz</t>
  </si>
  <si>
    <t>Mazánek Radek</t>
  </si>
  <si>
    <t>obec@kneznice.cz</t>
  </si>
  <si>
    <t>Hlawatschke Aleš</t>
  </si>
  <si>
    <t>ou@konecchlumi-obec.cz</t>
  </si>
  <si>
    <t>Masáková Hana, Ing.</t>
  </si>
  <si>
    <t>kopidlno@kopidlno.cz</t>
  </si>
  <si>
    <t>Velart Lukáš</t>
  </si>
  <si>
    <t>ou@kostelec-jc.cz</t>
  </si>
  <si>
    <t>Kysela Pavel</t>
  </si>
  <si>
    <t>ou.kovac@seznam.cz</t>
  </si>
  <si>
    <t>obec@kozojedy.com</t>
  </si>
  <si>
    <t>Šteffl Václav</t>
  </si>
  <si>
    <t>Chmelíková Soňa</t>
  </si>
  <si>
    <t>obec.kyje@tiscali.cz</t>
  </si>
  <si>
    <t>Šubr Pavel, Ing.</t>
  </si>
  <si>
    <t>Přibyl Jaromír</t>
  </si>
  <si>
    <t>starosta@mestoliban.cz</t>
  </si>
  <si>
    <t>Svoboda Vít</t>
  </si>
  <si>
    <t>libosovice@craj.cz</t>
  </si>
  <si>
    <t>Červová Helena</t>
  </si>
  <si>
    <t>starosta@libun.cz</t>
  </si>
  <si>
    <t>Hladík Václav</t>
  </si>
  <si>
    <t>ou.liskovice@tiscali.cz</t>
  </si>
  <si>
    <t>Hladík David</t>
  </si>
  <si>
    <t>starosta@lukavec.eu</t>
  </si>
  <si>
    <t>Mitlöhner Martin, Ing.</t>
  </si>
  <si>
    <t>urad@luzany.cz</t>
  </si>
  <si>
    <t>Šolc František</t>
  </si>
  <si>
    <t>markvartice@seznam.cz</t>
  </si>
  <si>
    <t>Nosek Miroslav, Bc.</t>
  </si>
  <si>
    <t>nosek@miletin.cz</t>
  </si>
  <si>
    <t>Jirsák Alois, Ing, CSc.</t>
  </si>
  <si>
    <t>alois.jirsak@gmail.com</t>
  </si>
  <si>
    <t>Hornig Petr</t>
  </si>
  <si>
    <t>mladejov@craj.cz</t>
  </si>
  <si>
    <t>Komárek Tomáš</t>
  </si>
  <si>
    <t>obec@mlazovice.cz</t>
  </si>
  <si>
    <t>Berný Pavel, Mgr.</t>
  </si>
  <si>
    <t>obec.nemyceves@seznam.cz</t>
  </si>
  <si>
    <t>Koubková Jitka, Ing.</t>
  </si>
  <si>
    <t>ou.nevratice@seznam.cz</t>
  </si>
  <si>
    <t>Cogan Josef, Mgr.</t>
  </si>
  <si>
    <t>starosta@munovapaka.cz</t>
  </si>
  <si>
    <t>Erbanová Eva</t>
  </si>
  <si>
    <t>oharice@email.cz</t>
  </si>
  <si>
    <t>Stránská Monika, Ing.</t>
  </si>
  <si>
    <t>obec.ohavec@seznam.cz</t>
  </si>
  <si>
    <t>Stýblo Jiří</t>
  </si>
  <si>
    <t>ou@ostromer.cz</t>
  </si>
  <si>
    <t>Richter Jiří</t>
  </si>
  <si>
    <t>obecostruzno@seznam.cz</t>
  </si>
  <si>
    <t>Štěrbová Hana</t>
  </si>
  <si>
    <t>podatelna@mestys-pecka.cz</t>
  </si>
  <si>
    <t>ou.petrovicky@tiscali.cz</t>
  </si>
  <si>
    <t>Chudoba Josef, Ing.</t>
  </si>
  <si>
    <t>ou@podhorniujezd.cz</t>
  </si>
  <si>
    <t>Rambousek Michal</t>
  </si>
  <si>
    <t>mestys.podhradi@seznam.cz</t>
  </si>
  <si>
    <t>Žalský Zdeněk, Ing.</t>
  </si>
  <si>
    <t>zzalsky@seznam.cz</t>
  </si>
  <si>
    <t>Brixová Zdeňka</t>
  </si>
  <si>
    <t>ou.radim@centrum.cz</t>
  </si>
  <si>
    <t>Kučerová Renáta</t>
  </si>
  <si>
    <t>ou.rasin@tiscali.cz</t>
  </si>
  <si>
    <t>Nosek Miloš</t>
  </si>
  <si>
    <t>nosek158@seznam.cz</t>
  </si>
  <si>
    <t>Hrušová Marcela</t>
  </si>
  <si>
    <t>obecrokytnany@seznam.cz</t>
  </si>
  <si>
    <t>Knížek Jiří</t>
  </si>
  <si>
    <t>obecsamsina@seznam.cz</t>
  </si>
  <si>
    <t>info@obec-sber.cz</t>
  </si>
  <si>
    <t>Kněz Michal</t>
  </si>
  <si>
    <t>Vaníček Pavel</t>
  </si>
  <si>
    <t>starosta@sedliste-jc.cz</t>
  </si>
  <si>
    <t>Peš Vladimír</t>
  </si>
  <si>
    <t>pesvladimir@tiscali.cz</t>
  </si>
  <si>
    <t>Martínek Jiří</t>
  </si>
  <si>
    <t>ou@slatiny.cz</t>
  </si>
  <si>
    <t>Řeháček Jaroslav, Ing.</t>
  </si>
  <si>
    <t>ou.slavhostice@seznam.cz</t>
  </si>
  <si>
    <t>Horník Josef</t>
  </si>
  <si>
    <t>ou@sobcice.cz</t>
  </si>
  <si>
    <t>Hrabec Antonín</t>
  </si>
  <si>
    <t>ousoberaz@centrum.cz</t>
  </si>
  <si>
    <t>Jenček Lubor, Ing.</t>
  </si>
  <si>
    <t>jencek@mesto-sobotka.cz</t>
  </si>
  <si>
    <t>Dlabola Josef</t>
  </si>
  <si>
    <t>starosta@starapaka.cz</t>
  </si>
  <si>
    <t>Švorc Zdeněk, Ing.</t>
  </si>
  <si>
    <t>obec@oustarehrady.cz</t>
  </si>
  <si>
    <t>Másnica František</t>
  </si>
  <si>
    <t>ou.staremisto@tiscali.cz</t>
  </si>
  <si>
    <t>Svobodová Lenka</t>
  </si>
  <si>
    <t>Rychnová Jaroslava</t>
  </si>
  <si>
    <t>strevac@seznam.cz</t>
  </si>
  <si>
    <t>Malý Petr, Ing.</t>
  </si>
  <si>
    <t>sukorady@gmail.com</t>
  </si>
  <si>
    <t>Perný Miroslav</t>
  </si>
  <si>
    <t>svatojansky.ujezd@tiscali.cz</t>
  </si>
  <si>
    <t>Vích Pavel</t>
  </si>
  <si>
    <t>obec@sarovcova-lhota.cz</t>
  </si>
  <si>
    <t>Hlavatý Matěj</t>
  </si>
  <si>
    <t>ou.tetin@tiscali.cz</t>
  </si>
  <si>
    <t>outrebnouseves@cbox.cz</t>
  </si>
  <si>
    <t>Bydžovský Zdeněk</t>
  </si>
  <si>
    <t>trtenice@tiscali.cz</t>
  </si>
  <si>
    <t>Řehák Martin</t>
  </si>
  <si>
    <t>obectur@seznam.cz</t>
  </si>
  <si>
    <t>Urban Miloš</t>
  </si>
  <si>
    <t>urad@ubislavice.cz</t>
  </si>
  <si>
    <t>info@udrnice.cz</t>
  </si>
  <si>
    <t>Horák Miroslav</t>
  </si>
  <si>
    <t>uhlejov@seznam.cz</t>
  </si>
  <si>
    <t>Šedivá Lenka, DiS.</t>
  </si>
  <si>
    <t>Kubišta Jiří</t>
  </si>
  <si>
    <t>ujezd@craj.cz</t>
  </si>
  <si>
    <t>Kovář Michal, PhDr.</t>
  </si>
  <si>
    <t>Žurek Zdeněk</t>
  </si>
  <si>
    <t>starosta@valdice.cz</t>
  </si>
  <si>
    <t>Bíšková Naďa</t>
  </si>
  <si>
    <t>obecvelis@tiscali.cz</t>
  </si>
  <si>
    <t>Erlebachová Miroslava, Ing.</t>
  </si>
  <si>
    <t>mila.erlebachova@seznam.cz</t>
  </si>
  <si>
    <t>Havránek Josef</t>
  </si>
  <si>
    <t>info@vitineves.cz</t>
  </si>
  <si>
    <t>Kosinová Kateřina</t>
  </si>
  <si>
    <t>volanice@seznam.cz</t>
  </si>
  <si>
    <t>Konůpek Ladislav, Ing.</t>
  </si>
  <si>
    <t>Hnízdo Jaroslav</t>
  </si>
  <si>
    <t>ou.vrsce@seznam.cz</t>
  </si>
  <si>
    <t>Hlavatý Jiří</t>
  </si>
  <si>
    <t>obec.vresnik@c-box.cz</t>
  </si>
  <si>
    <t>Holman Luboš</t>
  </si>
  <si>
    <t>Konečný Zdeněk</t>
  </si>
  <si>
    <t>ou.zamosti@tiscali.cz</t>
  </si>
  <si>
    <t>Havlová Eva</t>
  </si>
  <si>
    <t>Kracíková Dana, Ing.</t>
  </si>
  <si>
    <t>mu@zeleznice.net</t>
  </si>
  <si>
    <t>Laloušek Miloš, Ing.</t>
  </si>
  <si>
    <t>obec@zeretice.org</t>
  </si>
  <si>
    <t>Berný Petr</t>
  </si>
  <si>
    <t>zidovice@centrum.cz</t>
  </si>
  <si>
    <t>www.zlunice.cz</t>
  </si>
  <si>
    <t>obec.zlunice@tiscali.cz</t>
  </si>
  <si>
    <t>Horák Roman, Ing.</t>
  </si>
  <si>
    <r>
      <t xml:space="preserve">Jaroslav, Přím, </t>
    </r>
    <r>
      <rPr>
        <sz val="10"/>
        <color indexed="23"/>
        <rFont val="Arial Narrow"/>
        <family val="2"/>
        <charset val="238"/>
      </rPr>
      <t>(+Blatiny)</t>
    </r>
  </si>
  <si>
    <r>
      <t xml:space="preserve">Nebeská Rybná, </t>
    </r>
    <r>
      <rPr>
        <sz val="10"/>
        <color indexed="23"/>
        <rFont val="Arial Narrow"/>
        <family val="2"/>
        <charset val="238"/>
      </rPr>
      <t xml:space="preserve">(+Hanička, Panské Pole, Popelov) </t>
    </r>
  </si>
  <si>
    <r>
      <t xml:space="preserve">Merklovice, Peklo, </t>
    </r>
    <r>
      <rPr>
        <sz val="10"/>
        <color indexed="23"/>
        <rFont val="Arial Narrow"/>
        <family val="2"/>
        <charset val="238"/>
      </rPr>
      <t>(+Hradisko, Libštejn, Pekelec, Popluží, Zakopánka)</t>
    </r>
  </si>
  <si>
    <r>
      <t xml:space="preserve">Horní Žďár, </t>
    </r>
    <r>
      <rPr>
        <sz val="10"/>
        <color indexed="23"/>
        <rFont val="Arial Narrow"/>
        <family val="2"/>
        <charset val="238"/>
      </rPr>
      <t>(+Brusnice, Výšinka)</t>
    </r>
  </si>
  <si>
    <r>
      <t xml:space="preserve">Hertvíkovice, Kalná Voda, </t>
    </r>
    <r>
      <rPr>
        <sz val="10"/>
        <color indexed="23"/>
        <rFont val="Arial Narrow"/>
        <family val="2"/>
        <charset val="238"/>
      </rPr>
      <t>(+Sklenářovice)</t>
    </r>
  </si>
  <si>
    <r>
      <t xml:space="preserve">Markoušovice, </t>
    </r>
    <r>
      <rPr>
        <sz val="10"/>
        <color indexed="23"/>
        <rFont val="Arial Narrow"/>
        <family val="2"/>
        <charset val="238"/>
      </rPr>
      <t>(+Starý Sedloňov)</t>
    </r>
  </si>
  <si>
    <t>Teplice n.M.</t>
  </si>
  <si>
    <t>Police n.M.</t>
  </si>
  <si>
    <t>počet obyvatel 1930</t>
  </si>
  <si>
    <t>obyvatel v r.2016 oproti roku 1930</t>
  </si>
  <si>
    <t>veřejné zakázky</t>
  </si>
  <si>
    <t>Maršíková Veronika, Ing.</t>
  </si>
  <si>
    <t>zakazky@ceskaskalice.cz</t>
  </si>
  <si>
    <t>www.ceskaskalice.cz</t>
  </si>
  <si>
    <t>Staněk Martin, Bc., DiS.</t>
  </si>
  <si>
    <t>starosta@ceskaskalice.cz</t>
  </si>
  <si>
    <t>urad@ceskaskalice.cz</t>
  </si>
  <si>
    <t>Machková Jana, Ing.</t>
  </si>
  <si>
    <t>správa majetku</t>
  </si>
  <si>
    <t>stavebni@mestoborohradek.cz</t>
  </si>
  <si>
    <t>mmoravec@mestoborohradek.cz</t>
  </si>
  <si>
    <t>www.rokytnicevoh.cz</t>
  </si>
  <si>
    <t xml:space="preserve">podatelna@mu.rokytnice.cz </t>
  </si>
  <si>
    <t>Hudousek Petr</t>
  </si>
  <si>
    <t xml:space="preserve">petr.hudousek@mu.rokytnice.cz </t>
  </si>
  <si>
    <t>správa majetku a investice</t>
  </si>
  <si>
    <t>Gärtnerová Jana</t>
  </si>
  <si>
    <t xml:space="preserve">jana.gartnerova@mu.rokytnice.cz   </t>
  </si>
  <si>
    <t>Urban Bohuslav</t>
  </si>
  <si>
    <t>Maroul Miroslav, Mgr.</t>
  </si>
  <si>
    <t>starosta@bezdekov.org</t>
  </si>
  <si>
    <t>Tojnar Jiří</t>
  </si>
  <si>
    <t>starosta@bohuslavice.com</t>
  </si>
  <si>
    <t>Jirka Pavel, Bc.</t>
  </si>
  <si>
    <t>borovaunachoda@mymail.cz</t>
  </si>
  <si>
    <t>Rajchrt Pavel</t>
  </si>
  <si>
    <t>starosta@obecbozanov.cz</t>
  </si>
  <si>
    <t>Bitnar Jaroslav, Ing.</t>
  </si>
  <si>
    <t>starosta@broumov-město.cz</t>
  </si>
  <si>
    <t>Kárníková Nelly</t>
  </si>
  <si>
    <t>starosta@brzice.cz</t>
  </si>
  <si>
    <t>Šrůtek Milan, Ing.</t>
  </si>
  <si>
    <t>srutek@obecbukovice.cz</t>
  </si>
  <si>
    <t>Tylš Ladislav</t>
  </si>
  <si>
    <t>obeccerncice@seznam.cz</t>
  </si>
  <si>
    <t>Zajíc Bronislav</t>
  </si>
  <si>
    <t>ou.cervenahora@tiscali.cz</t>
  </si>
  <si>
    <t>Petrák Rostislav, Ing.</t>
  </si>
  <si>
    <t>rostislav.petrak@mestock.cz</t>
  </si>
  <si>
    <t>starostka@ceskacermna.cz</t>
  </si>
  <si>
    <t>Smažíková Eva</t>
  </si>
  <si>
    <t>Vaněček Jaroslav</t>
  </si>
  <si>
    <t>starosta.metuje@seznam.cz</t>
  </si>
  <si>
    <t>Plšek Jiří</t>
  </si>
  <si>
    <t>obec@dolany-na.cz</t>
  </si>
  <si>
    <t>Michel Jan, Ing</t>
  </si>
  <si>
    <t>Harasevič Václav</t>
  </si>
  <si>
    <t>starosta@hejtmankovice.cz</t>
  </si>
  <si>
    <t>Jelínek Josef</t>
  </si>
  <si>
    <t>obec.hermanice@quick.cz</t>
  </si>
  <si>
    <t>Králová Jana</t>
  </si>
  <si>
    <t>obec@hermankovice.cz</t>
  </si>
  <si>
    <t>Seidl Jiří</t>
  </si>
  <si>
    <t>starosta@obechr.com</t>
  </si>
  <si>
    <t>posta@obechr.com</t>
  </si>
  <si>
    <t>Volf Stanislav</t>
  </si>
  <si>
    <t>ou.horenice@tiscali.cz</t>
  </si>
  <si>
    <t>Kačer Josef</t>
  </si>
  <si>
    <t>horicky@horicky.cz</t>
  </si>
  <si>
    <t>Nedvědová Hana</t>
  </si>
  <si>
    <t>starosta@mestohronov.cz</t>
  </si>
  <si>
    <t>Hermonová Věra</t>
  </si>
  <si>
    <t>obec.hyncice@tiscali.cz</t>
  </si>
  <si>
    <t>Kališ Miroslav</t>
  </si>
  <si>
    <t>obec@chvalkovice.cz</t>
  </si>
  <si>
    <t>Klepsa Jiří, Ing</t>
  </si>
  <si>
    <t>klepsa@jaromer-josefov.cz</t>
  </si>
  <si>
    <t>Slezáková Jitka, Ing.</t>
  </si>
  <si>
    <t>obec.jasenna@tiscali.cz</t>
  </si>
  <si>
    <t>Štěpán Josef</t>
  </si>
  <si>
    <t>jestrebi.na@wo.cz</t>
  </si>
  <si>
    <t>Gorgan Josef</t>
  </si>
  <si>
    <t>obec.jetrichov@tiscali.cz</t>
  </si>
  <si>
    <t>Kropáčková Jitka</t>
  </si>
  <si>
    <t>info@kramolna.cz</t>
  </si>
  <si>
    <t>krinice@tiscali.cz</t>
  </si>
  <si>
    <t>Rosová Libuše</t>
  </si>
  <si>
    <t>Kricnarová Darina</t>
  </si>
  <si>
    <t>obec.lhotaph@seznam.cz</t>
  </si>
  <si>
    <t>Martinek Robin</t>
  </si>
  <si>
    <t>Vlček Karel, Ing.</t>
  </si>
  <si>
    <t>vlcek@zddolany.cz</t>
  </si>
  <si>
    <t>Krtička Jiří, Ing.</t>
  </si>
  <si>
    <t>j.krticka@machov-obec.cz</t>
  </si>
  <si>
    <t>Jirka Jaromír, Ing.</t>
  </si>
  <si>
    <t>Pácalt Jaroslav, Ing.</t>
  </si>
  <si>
    <t>obec.mezileci@tiscali.cz</t>
  </si>
  <si>
    <t>Novák Michal</t>
  </si>
  <si>
    <t>starosta@mezilesi.cz</t>
  </si>
  <si>
    <t>Mücková Eva, Mgr.</t>
  </si>
  <si>
    <t>muckova@mezimesti.cz</t>
  </si>
  <si>
    <t>ou.nahorany@iol.cz</t>
  </si>
  <si>
    <t>starostanahorany@email.cz</t>
  </si>
  <si>
    <t>Hlávko Josef</t>
  </si>
  <si>
    <t>Birke Jan</t>
  </si>
  <si>
    <t>j.birke@mestonachod.cz</t>
  </si>
  <si>
    <t>Hable Petr</t>
  </si>
  <si>
    <t>hable@novemestonm.cz</t>
  </si>
  <si>
    <t>Drašnar Zdeněk, Bc.</t>
  </si>
  <si>
    <t>um.starosta@novy-hradek.cz</t>
  </si>
  <si>
    <t>Novák Miroslav</t>
  </si>
  <si>
    <t>novy.ples@cbox.cz</t>
  </si>
  <si>
    <t>Novák Petr</t>
  </si>
  <si>
    <t>starosta@obecotovice.cz</t>
  </si>
  <si>
    <t>obec@obecotovice.cz</t>
  </si>
  <si>
    <t>Jenková Ida, Mgr.</t>
  </si>
  <si>
    <t>idajenkova@meu-police.cz</t>
  </si>
  <si>
    <t>Kulek Josef, Ing</t>
  </si>
  <si>
    <t>starosta@provodovsonov.cz</t>
  </si>
  <si>
    <t>Dudková Andrea, Ing.</t>
  </si>
  <si>
    <t>obec.pribyslav@seznam.cz</t>
  </si>
  <si>
    <t>Rezek Oldřich</t>
  </si>
  <si>
    <t>ou.rasosky@c-box.cz</t>
  </si>
  <si>
    <t>Procházka Zbyněk</t>
  </si>
  <si>
    <t>obec@obecroznov.cz</t>
  </si>
  <si>
    <t xml:space="preserve">Velacková Veronika </t>
  </si>
  <si>
    <t>Jarkovská Valimíra, MVDr.</t>
  </si>
  <si>
    <t>obec@obecrikov.cz</t>
  </si>
  <si>
    <t>Kumprecht Tomáš</t>
  </si>
  <si>
    <t>info@sendraz.cz</t>
  </si>
  <si>
    <t>Pokorná Marie</t>
  </si>
  <si>
    <t>pokorna@slatinanadupou.cz</t>
  </si>
  <si>
    <t>Věříš Miroslav, MVDr.</t>
  </si>
  <si>
    <t>urad@slavetinnadmetuji.cz</t>
  </si>
  <si>
    <t>Suchánek Michal</t>
  </si>
  <si>
    <t>obecniurad@slavonov.cz</t>
  </si>
  <si>
    <t>Pernica Rudolf</t>
  </si>
  <si>
    <t>starosta@starkov.cz</t>
  </si>
  <si>
    <t>Toldová Helena, Ing</t>
  </si>
  <si>
    <t>helena.toldova@obecstudnicena.cz</t>
  </si>
  <si>
    <t>Vítek Vítězslav</t>
  </si>
  <si>
    <t>obec@suchydul.cz</t>
  </si>
  <si>
    <t>Cejnar Jaroslav</t>
  </si>
  <si>
    <t>ou_sestajovice@quick.cz</t>
  </si>
  <si>
    <t>Grusman Vladimír</t>
  </si>
  <si>
    <t>Brandejs Milan</t>
  </si>
  <si>
    <t>starosta@teplicenadmetuji.cz</t>
  </si>
  <si>
    <t>Karel Josef</t>
  </si>
  <si>
    <t>obecvelichovky@obecvelichovky.cz</t>
  </si>
  <si>
    <t>Jeništa Petr</t>
  </si>
  <si>
    <t>starosta@velkajesenice.cz</t>
  </si>
  <si>
    <t>Friml Vladislav</t>
  </si>
  <si>
    <t>ou.velkepetrovice@seznam.cz</t>
  </si>
  <si>
    <t>Král Josef, Ing.</t>
  </si>
  <si>
    <t>kral@velkeporici.cz</t>
  </si>
  <si>
    <t>Mervart Jaromír</t>
  </si>
  <si>
    <t>jaromir.mervart@velkytrebesov.cz</t>
  </si>
  <si>
    <t>Havrlant Tomáš, Ing.</t>
  </si>
  <si>
    <t>ou.vernerovice@cbox.cz</t>
  </si>
  <si>
    <t>Filip Martin</t>
  </si>
  <si>
    <t>Nepokoj Jiří</t>
  </si>
  <si>
    <t>ouvlkov@email.cz</t>
  </si>
  <si>
    <t>Teplý Jiří, Ing.</t>
  </si>
  <si>
    <t>Klučka Josef</t>
  </si>
  <si>
    <t>starosta@vysokasrbska.cz</t>
  </si>
  <si>
    <t>Fiedlerová Renáta, Bc.</t>
  </si>
  <si>
    <t>obec.vysokov@tiscali.cz</t>
  </si>
  <si>
    <t>Dlauhoweský Jan</t>
  </si>
  <si>
    <t>urad@zabrodi.cz</t>
  </si>
  <si>
    <t>Havelka Karel</t>
  </si>
  <si>
    <t>ou@obecadrspach.cz</t>
  </si>
  <si>
    <t>Jerman Vladimír, Ing.</t>
  </si>
  <si>
    <t>obec.zdarky@quick.cz</t>
  </si>
  <si>
    <t>Mojžíš Libor, Mgr.</t>
  </si>
  <si>
    <t>zernov@zernov.cz</t>
  </si>
  <si>
    <t>Kratěna Jaromír</t>
  </si>
  <si>
    <t>Prýmusová Gabriela</t>
  </si>
  <si>
    <t>ou@bacetin.cz</t>
  </si>
  <si>
    <t>Arnošt Zdeněk</t>
  </si>
  <si>
    <t>bily.ujezd@tiscali.cz</t>
  </si>
  <si>
    <t>Štěpán Jaromír, Ing.</t>
  </si>
  <si>
    <t>obec.bohdasin@dobruska.net</t>
  </si>
  <si>
    <t>Kubíček Petr</t>
  </si>
  <si>
    <t>starosta@bolehost.cz</t>
  </si>
  <si>
    <t>Rojková Soňa</t>
  </si>
  <si>
    <t>obec@borovnice.info</t>
  </si>
  <si>
    <t>Ševc Leoš</t>
  </si>
  <si>
    <t>ou@obecbystre.cz</t>
  </si>
  <si>
    <t>Kubec Josef</t>
  </si>
  <si>
    <t>obec@byzhradec.cz</t>
  </si>
  <si>
    <t>Praus Zdeněk, Ing.</t>
  </si>
  <si>
    <t>z.praus@ou-castolovice.cz</t>
  </si>
  <si>
    <t>Joska David, Mgr.</t>
  </si>
  <si>
    <t>obec@cermna-n-orl.cz</t>
  </si>
  <si>
    <t>joska.cermna@gmail.com</t>
  </si>
  <si>
    <t>Jedlinská Zdenka</t>
  </si>
  <si>
    <t>obec.cernikovice@tiscali.cz</t>
  </si>
  <si>
    <t>c.mezirici@tiscali.cz</t>
  </si>
  <si>
    <t>Vondráček Petr</t>
  </si>
  <si>
    <t>obeccestice@iol.cz</t>
  </si>
  <si>
    <t>obecni.urad@destne.cz</t>
  </si>
  <si>
    <t>a.krizova@destne.info</t>
  </si>
  <si>
    <t>Michl Ladislav</t>
  </si>
  <si>
    <t>obec.dobre@tiscali.cz</t>
  </si>
  <si>
    <t>starosta@mestodobruska.cz</t>
  </si>
  <si>
    <t>Moravec Michal</t>
  </si>
  <si>
    <t>obecdobrany@volny.cz</t>
  </si>
  <si>
    <t>Kaplan Jiří</t>
  </si>
  <si>
    <t>starosta@doudleby.cz</t>
  </si>
  <si>
    <t>ou.hribiny@tiscali.cz</t>
  </si>
  <si>
    <t>Potočková Eva</t>
  </si>
  <si>
    <t>Plocek Jiří</t>
  </si>
  <si>
    <t>obecchleny@tiscali.cz</t>
  </si>
  <si>
    <t>Novotný Stanislav ml.</t>
  </si>
  <si>
    <t>obecchlistov@seznam.cz</t>
  </si>
  <si>
    <t>Šeda František</t>
  </si>
  <si>
    <t>obec.jahodov@tiscali.cz</t>
  </si>
  <si>
    <t>Macek Josef</t>
  </si>
  <si>
    <t>janov@wo.cz</t>
  </si>
  <si>
    <t>Zachoval Vlastimil, Bc.</t>
  </si>
  <si>
    <t>starosta@obecjavornice.cz</t>
  </si>
  <si>
    <t>fkinsky@kostelecno.cz</t>
  </si>
  <si>
    <t>Kinský František</t>
  </si>
  <si>
    <t>Kunart Lukáš</t>
  </si>
  <si>
    <t>ouhorky@seznam.cz</t>
  </si>
  <si>
    <t>Bašek Jaroslav, Ing.</t>
  </si>
  <si>
    <t>kounov@dobruska.cz</t>
  </si>
  <si>
    <t>Novák Jiří</t>
  </si>
  <si>
    <t>ou.kralovalhota@seznam.cz</t>
  </si>
  <si>
    <t>Myšák Josef, Ing.</t>
  </si>
  <si>
    <t>mysak.obec@email.cz</t>
  </si>
  <si>
    <t>Nováková Alice, Ing.</t>
  </si>
  <si>
    <t>starosta@obec-kvasiny.cz</t>
  </si>
  <si>
    <t>Růžička Jan</t>
  </si>
  <si>
    <t>oulhoty@centrum.cz</t>
  </si>
  <si>
    <t>Šeda Vlastimil</t>
  </si>
  <si>
    <t>obec.libel@tiscali.cz</t>
  </si>
  <si>
    <t>Šimerda Jiří</t>
  </si>
  <si>
    <t>obec.liberk@seznam.cz</t>
  </si>
  <si>
    <t>Vilímek Tomáš, Bc.</t>
  </si>
  <si>
    <t>obec@licno.cz</t>
  </si>
  <si>
    <t>Vrátilová Monika</t>
  </si>
  <si>
    <t>starosta.lipa@nadorlici.cz</t>
  </si>
  <si>
    <t>Martinů Eva</t>
  </si>
  <si>
    <t>obec.lukavice@tiscali.cz</t>
  </si>
  <si>
    <t>Muthsam Ivo, Ing.</t>
  </si>
  <si>
    <t>ou@obeclupenice.cz</t>
  </si>
  <si>
    <t>Zaňka Tomáš</t>
  </si>
  <si>
    <t>obec.novaves@seznam.cz</t>
  </si>
  <si>
    <t>Železová Radka</t>
  </si>
  <si>
    <t>ocelice@wo.cz</t>
  </si>
  <si>
    <t>Novotná Petra</t>
  </si>
  <si>
    <t>ohnisov@wo.cz</t>
  </si>
  <si>
    <t>Moravec Jiří</t>
  </si>
  <si>
    <t>obec.olesnice@tiscali.cz</t>
  </si>
  <si>
    <t>obecniurad@olesnice.net</t>
  </si>
  <si>
    <t>Škrabalová Šárka</t>
  </si>
  <si>
    <t>skrabalova@mu.opocno.cz</t>
  </si>
  <si>
    <t>Špinler Vojtěch</t>
  </si>
  <si>
    <t>obec@orlickezahori.eu</t>
  </si>
  <si>
    <t>Neugebauer Josef</t>
  </si>
  <si>
    <t>Petr Miroslav</t>
  </si>
  <si>
    <t>starosta@pecin.cz</t>
  </si>
  <si>
    <t>Novotný Antonín</t>
  </si>
  <si>
    <t>starosta@podbrezi.cz</t>
  </si>
  <si>
    <t>Krafka Zdeněk</t>
  </si>
  <si>
    <t>urad@obecpohori.cz</t>
  </si>
  <si>
    <t>Šalda Josef, Ing.</t>
  </si>
  <si>
    <t>starosta@polom.cz</t>
  </si>
  <si>
    <t>Dostál Petr</t>
  </si>
  <si>
    <t>starosta@potstejn.cz</t>
  </si>
  <si>
    <t>Dvořák Luboš</t>
  </si>
  <si>
    <t>Valášková Marie</t>
  </si>
  <si>
    <t>obec@rybna.cz</t>
  </si>
  <si>
    <t>Skořepa Jan, Ing.</t>
  </si>
  <si>
    <t>jan.skorepa@rychnov-city.cz</t>
  </si>
  <si>
    <t>Kuchta Jaroslav, Ing.</t>
  </si>
  <si>
    <t>ou.ricky@obecricky.cz</t>
  </si>
  <si>
    <t>Ježková Hana</t>
  </si>
  <si>
    <t>obec@sedlonov.cz</t>
  </si>
  <si>
    <t>Bendzo Zdeněk</t>
  </si>
  <si>
    <t>semechnice@semechnice.cz</t>
  </si>
  <si>
    <t>Bárta Milan</t>
  </si>
  <si>
    <t>epodatelna@skuhrov.cz</t>
  </si>
  <si>
    <t>Tůma Petr, Mgr.</t>
  </si>
  <si>
    <t>starosta@slatinanz.cz</t>
  </si>
  <si>
    <t>Jirásek Petr</t>
  </si>
  <si>
    <t>obec.snezne@tiscali.cz</t>
  </si>
  <si>
    <t>Hostinský Jan, Ing.</t>
  </si>
  <si>
    <t>mu@solnice.cz</t>
  </si>
  <si>
    <t>Jindrásek Mojmír</t>
  </si>
  <si>
    <t>obec@svidnice.cz</t>
  </si>
  <si>
    <t>Kapčuk Vítězslav</t>
  </si>
  <si>
    <t>vitezslav.kapcuk@seznam.cz</t>
  </si>
  <si>
    <t>Brandejsová Libuše</t>
  </si>
  <si>
    <t>obec.trnov@post.cz</t>
  </si>
  <si>
    <t>Hovorka Jaroslav</t>
  </si>
  <si>
    <t>obec@trebesov.cz</t>
  </si>
  <si>
    <t>starosta.tutleky@tiscali.cz</t>
  </si>
  <si>
    <t>Moravec Oldřich</t>
  </si>
  <si>
    <t>Galbičková Jana, Ing.</t>
  </si>
  <si>
    <t>galbickova@tyniste.cz</t>
  </si>
  <si>
    <t>Hlavsa Milan</t>
  </si>
  <si>
    <t>Futter Rudolf</t>
  </si>
  <si>
    <t>starosta@vamberk-city.cz</t>
  </si>
  <si>
    <t>Hejna Michal</t>
  </si>
  <si>
    <t>urad@obec-voderady.cz</t>
  </si>
  <si>
    <t>Kuběnková Drahomíra</t>
  </si>
  <si>
    <t>vrbice@seznam.cz</t>
  </si>
  <si>
    <t>Novotný Josef</t>
  </si>
  <si>
    <t>obeczamel@obeczamel.cz</t>
  </si>
  <si>
    <t>Bozetický Miroslav</t>
  </si>
  <si>
    <t>ouzdelov@asc.cz</t>
  </si>
  <si>
    <t>Pártl Ivan, Ing.</t>
  </si>
  <si>
    <t>Benešová Martina, Bc.</t>
  </si>
  <si>
    <t>zdar@wo.cz</t>
  </si>
  <si>
    <t>Pátková Vladimíra</t>
  </si>
  <si>
    <t>obec@batnovice.cz</t>
  </si>
  <si>
    <t>starosta@obecbernartice.cz</t>
  </si>
  <si>
    <t>Hefka Zdeněk</t>
  </si>
  <si>
    <t>Čeněk Štěpán, Bc.</t>
  </si>
  <si>
    <t>starosta@bilatremesna.cz</t>
  </si>
  <si>
    <t>Baudyš Petr</t>
  </si>
  <si>
    <t>starosta@bilepolicany.cz</t>
  </si>
  <si>
    <t>Bušák Josef, Ing.</t>
  </si>
  <si>
    <t>obec@borovnice.cz</t>
  </si>
  <si>
    <t>Janata Roman</t>
  </si>
  <si>
    <t>obec.borovnicka@tiscali.cz</t>
  </si>
  <si>
    <t>Halík Milan</t>
  </si>
  <si>
    <t>ou_cermna@volny.cz</t>
  </si>
  <si>
    <t>Kraus Zdeněk, Ing.</t>
  </si>
  <si>
    <t>starosta@cernydul.cz</t>
  </si>
  <si>
    <t>Čvančara Libor</t>
  </si>
  <si>
    <t>starosta.branna@seznam.cz</t>
  </si>
  <si>
    <t>Suchý Jan</t>
  </si>
  <si>
    <t>obec.dolnibrusnice@worldonline.cz</t>
  </si>
  <si>
    <t>Neumann David</t>
  </si>
  <si>
    <t>starosta@dolnidvur.cz</t>
  </si>
  <si>
    <t>starosta@dolnikalna.cz</t>
  </si>
  <si>
    <t>Vanclová Jaroslava</t>
  </si>
  <si>
    <t>Tomíček Miloslav, JUDr.</t>
  </si>
  <si>
    <t>miloslav.tomicek@dolnilanov.cz</t>
  </si>
  <si>
    <t>Cermanová Radoslava</t>
  </si>
  <si>
    <t>dolniolesnice@quick.cz</t>
  </si>
  <si>
    <t>Huňat Jaroslav</t>
  </si>
  <si>
    <t>starosta@dubenec.cz</t>
  </si>
  <si>
    <t>obec.doubravice@seznam.cz</t>
  </si>
  <si>
    <t>Valášek Miloš</t>
  </si>
  <si>
    <t>Jarolím Jan, Ing.</t>
  </si>
  <si>
    <t>jarolim.jan@mudk.cz</t>
  </si>
  <si>
    <t>Červený Petr</t>
  </si>
  <si>
    <t>Dvořáček Pavel, Ing.</t>
  </si>
  <si>
    <t>starosta@havlovice.cz</t>
  </si>
  <si>
    <t>Vojtíšek Jiří</t>
  </si>
  <si>
    <t>ou.h.brusnice@raz-dva.cz</t>
  </si>
  <si>
    <t>Cerman Pavel</t>
  </si>
  <si>
    <t>obechornikalna@guick.cz</t>
  </si>
  <si>
    <t>Mrázek Pavel, Ing.</t>
  </si>
  <si>
    <t>starosta@hornimarsov.cz</t>
  </si>
  <si>
    <t>Linková Marcela</t>
  </si>
  <si>
    <t>linkova@horniolesnice.cz</t>
  </si>
  <si>
    <t>obec@horniolesnice.cz</t>
  </si>
  <si>
    <t>Sahánková Dagmar, Ing.</t>
  </si>
  <si>
    <t>urad@muhostinne.cz</t>
  </si>
  <si>
    <t>Dohnálek Miloš</t>
  </si>
  <si>
    <t>starosta@hribojedy.cz</t>
  </si>
  <si>
    <t>Vopálka Vratislav</t>
  </si>
  <si>
    <t>obec@choustnikovohradiste.cz</t>
  </si>
  <si>
    <t>Prouza Tomáš, Bc.</t>
  </si>
  <si>
    <t>starosta@chvalec.cz</t>
  </si>
  <si>
    <t>Hradecký Jiří, Ing.</t>
  </si>
  <si>
    <t>starosta@janske-lazne.cz</t>
  </si>
  <si>
    <t>Gangur Jiří</t>
  </si>
  <si>
    <t>obec.jivka@tiscali.cz</t>
  </si>
  <si>
    <t>Kodym Bohuslav</t>
  </si>
  <si>
    <t>klasterska.lhota@seznam.cz</t>
  </si>
  <si>
    <t>Rezková Eva</t>
  </si>
  <si>
    <t>Grega Ladislav, Ing.</t>
  </si>
  <si>
    <t>obec.kohoutov@seznam.cz</t>
  </si>
  <si>
    <t>Mach Zdeněk</t>
  </si>
  <si>
    <t>Stejný Antonín, Ing.</t>
  </si>
  <si>
    <t>oukuncice@volny.cz</t>
  </si>
  <si>
    <t>Láš Jiří</t>
  </si>
  <si>
    <t>lampertice@volny.cz</t>
  </si>
  <si>
    <t>radvanice@volny.cz</t>
  </si>
  <si>
    <t>Vancl Jiří, Ing.</t>
  </si>
  <si>
    <t>vancl@lanov.cz</t>
  </si>
  <si>
    <t>Skořepová Alena</t>
  </si>
  <si>
    <t>lanzov@volny.cz</t>
  </si>
  <si>
    <t>Tomeš Jaroslav</t>
  </si>
  <si>
    <t>obec.libnatov@seznam.cz</t>
  </si>
  <si>
    <t>Kraus Filip, Mgr.</t>
  </si>
  <si>
    <t>obec.libotov@tiscali.cz</t>
  </si>
  <si>
    <t>litic@litic.cz</t>
  </si>
  <si>
    <t>Engliš Karel, Ing.</t>
  </si>
  <si>
    <t>starosta@malaupa.cz</t>
  </si>
  <si>
    <t>Provazník Vladimír</t>
  </si>
  <si>
    <t>starosta@malesvatonovice.cz</t>
  </si>
  <si>
    <t>Vítková Jitka</t>
  </si>
  <si>
    <t>obec.marsov@tiscali.cz</t>
  </si>
  <si>
    <t>Potůčková Lucie, Mgr.</t>
  </si>
  <si>
    <t>starosta@mestysmladebuky.cz</t>
  </si>
  <si>
    <t>Tázlar Jaromír, Ing.</t>
  </si>
  <si>
    <t>starosta@mostek.cz</t>
  </si>
  <si>
    <t>Pěnička David, Ing.</t>
  </si>
  <si>
    <t>penicka@nemojov.com</t>
  </si>
  <si>
    <t>Tomášek Alan</t>
  </si>
  <si>
    <t>tomasek@pecpodsnezkou.cz</t>
  </si>
  <si>
    <t>Klapka Miroslav</t>
  </si>
  <si>
    <t>starosta@pilnikov.cz</t>
  </si>
  <si>
    <t>Bachtík Jiří</t>
  </si>
  <si>
    <t>obec.prosecne@iol.cz</t>
  </si>
  <si>
    <t>Němec Tomáš</t>
  </si>
  <si>
    <t>Špringr Zdeněk</t>
  </si>
  <si>
    <t>starosta@mestortyne.cz</t>
  </si>
  <si>
    <t>Maloch Aleš, Bc.</t>
  </si>
  <si>
    <t>starosta@rudnik.cz</t>
  </si>
  <si>
    <t>Sucháček Ondřej</t>
  </si>
  <si>
    <t>Bischof Jiří</t>
  </si>
  <si>
    <t>bischof@hi-net.cz</t>
  </si>
  <si>
    <t>Grégr Tomáš</t>
  </si>
  <si>
    <t>starosta@strazne.eu</t>
  </si>
  <si>
    <t>Hozová Lenka</t>
  </si>
  <si>
    <t>starosta@suchovrsice.cz</t>
  </si>
  <si>
    <t>Špetla Jiří, Ing.</t>
  </si>
  <si>
    <t>starosta@musvoboda.cz</t>
  </si>
  <si>
    <t>starosta@mestospindleruvmlyn.cz</t>
  </si>
  <si>
    <t>Saifrtová Jana, Mgr.</t>
  </si>
  <si>
    <t>trotina.urad@tiscali.cz</t>
  </si>
  <si>
    <t>Adamec Ivan, Mgr.</t>
  </si>
  <si>
    <t>adamec@trutnov.cz</t>
  </si>
  <si>
    <t>Krkonoška Jaroslav, Ing.</t>
  </si>
  <si>
    <t>info@trebihost.cz</t>
  </si>
  <si>
    <t>starosta@upice.cz</t>
  </si>
  <si>
    <t>starosta@velkesvatonovice.cz</t>
  </si>
  <si>
    <t>Hrochová Dagmar</t>
  </si>
  <si>
    <t>starosta@velkyvrestov.cz</t>
  </si>
  <si>
    <t>Jarošová Dagmar</t>
  </si>
  <si>
    <t>ou.vilantice@vilantice.cz</t>
  </si>
  <si>
    <t>Hrubý Petr</t>
  </si>
  <si>
    <t>starosta@vitezna.cz</t>
  </si>
  <si>
    <t>Havrdová Eva</t>
  </si>
  <si>
    <t>starosta@ou-vlcice.cz</t>
  </si>
  <si>
    <t>Volfová Bohuslava</t>
  </si>
  <si>
    <t>starosta@vlckovice.cz</t>
  </si>
  <si>
    <t>Janeček Martin</t>
  </si>
  <si>
    <t>starosta@zabrezi-recice.cz</t>
  </si>
  <si>
    <t>Zívr Luděk</t>
  </si>
  <si>
    <t>posta@zdobin.cz</t>
  </si>
  <si>
    <t>Kmiećová Eva</t>
  </si>
  <si>
    <t>Vlasák Miroslav</t>
  </si>
  <si>
    <t>starosta@zacler.cz</t>
  </si>
  <si>
    <t>oukralovec@volny.cz</t>
  </si>
  <si>
    <t>starosta@vrsovka.cz</t>
  </si>
  <si>
    <t>ou.hajnice@cmail.cz</t>
  </si>
  <si>
    <t>ou.rychnovek@cmail.cz</t>
  </si>
  <si>
    <t>obec.dolrad@seznam.cz</t>
  </si>
  <si>
    <t>ou.stanovice@cmail.cz</t>
  </si>
  <si>
    <t>ivan.partl@zdobnice.com</t>
  </si>
  <si>
    <t>ou.zalonov@cmail.cz</t>
  </si>
  <si>
    <t>ou.val@val.cz</t>
  </si>
  <si>
    <t>ouvu@seznam.cz</t>
  </si>
  <si>
    <t>www.olesnice.net</t>
  </si>
  <si>
    <t>Cejnar Jiří</t>
  </si>
  <si>
    <r>
      <t xml:space="preserve">Dub, Stračovská Lhota, </t>
    </r>
    <r>
      <rPr>
        <sz val="10"/>
        <color indexed="23"/>
        <rFont val="Arial Narrow"/>
        <family val="2"/>
        <charset val="238"/>
      </rPr>
      <t>(+Zavadilka)</t>
    </r>
  </si>
  <si>
    <t>obec@holovousy.cz</t>
  </si>
  <si>
    <t>?</t>
  </si>
  <si>
    <t>místní</t>
  </si>
  <si>
    <t>fotbal.hřiště</t>
  </si>
  <si>
    <r>
      <t xml:space="preserve">Krňovice, Nepasice, Polánky nad Dědinou, Štěnkov </t>
    </r>
    <r>
      <rPr>
        <sz val="10"/>
        <color indexed="23"/>
        <rFont val="Arial Narrow"/>
        <family val="2"/>
        <charset val="238"/>
      </rPr>
      <t>(+Bědovice, Mitrov)</t>
    </r>
  </si>
  <si>
    <r>
      <t xml:space="preserve">Dvorce, </t>
    </r>
    <r>
      <rPr>
        <i/>
        <sz val="10"/>
        <color indexed="63"/>
        <rFont val="Arial Narrow"/>
        <family val="2"/>
        <charset val="238"/>
      </rPr>
      <t>Holínské Předměstí,</t>
    </r>
    <r>
      <rPr>
        <sz val="10"/>
        <color indexed="63"/>
        <rFont val="Arial Narrow"/>
        <family val="2"/>
        <charset val="238"/>
      </rPr>
      <t xml:space="preserve"> Moravčice, </t>
    </r>
    <r>
      <rPr>
        <i/>
        <sz val="10"/>
        <color indexed="63"/>
        <rFont val="Arial Narrow"/>
        <family val="2"/>
        <charset val="238"/>
      </rPr>
      <t>Nové Město</t>
    </r>
    <r>
      <rPr>
        <sz val="10"/>
        <color indexed="63"/>
        <rFont val="Arial Narrow"/>
        <family val="2"/>
        <charset val="238"/>
      </rPr>
      <t xml:space="preserve">, Popovice, </t>
    </r>
    <r>
      <rPr>
        <i/>
        <sz val="10"/>
        <color indexed="63"/>
        <rFont val="Arial Narrow"/>
        <family val="2"/>
        <charset val="238"/>
      </rPr>
      <t>Pražské Předměstí</t>
    </r>
    <r>
      <rPr>
        <sz val="10"/>
        <color indexed="63"/>
        <rFont val="Arial Narrow"/>
        <family val="2"/>
        <charset val="238"/>
      </rPr>
      <t xml:space="preserve">, Robousy, </t>
    </r>
    <r>
      <rPr>
        <i/>
        <sz val="10"/>
        <color indexed="63"/>
        <rFont val="Arial Narrow"/>
        <family val="2"/>
        <charset val="238"/>
      </rPr>
      <t>Sedličky</t>
    </r>
    <r>
      <rPr>
        <sz val="10"/>
        <color indexed="63"/>
        <rFont val="Arial Narrow"/>
        <family val="2"/>
        <charset val="238"/>
      </rPr>
      <t xml:space="preserve">, Soudná, </t>
    </r>
    <r>
      <rPr>
        <i/>
        <sz val="10"/>
        <color indexed="63"/>
        <rFont val="Arial Narrow"/>
        <family val="2"/>
        <charset val="238"/>
      </rPr>
      <t xml:space="preserve">Staré Město, Valdické Předměstí, </t>
    </r>
    <r>
      <rPr>
        <i/>
        <sz val="10"/>
        <color indexed="23"/>
        <rFont val="Arial Narrow"/>
        <family val="2"/>
        <charset val="238"/>
      </rPr>
      <t>(+Čeřovka, Jarošov)</t>
    </r>
  </si>
  <si>
    <r>
      <t xml:space="preserve">Březovice, Doubrava, Chlum, Chvalina, Libonice, Svatogothardská Lhota, </t>
    </r>
    <r>
      <rPr>
        <sz val="10"/>
        <color indexed="23"/>
        <rFont val="Arial Narrow"/>
        <family val="2"/>
        <charset val="238"/>
      </rPr>
      <t xml:space="preserve">(+Dachovy, Gothard, Hrachovec) </t>
    </r>
    <r>
      <rPr>
        <sz val="10"/>
        <color indexed="63"/>
        <rFont val="Arial Narrow"/>
        <family val="2"/>
        <charset val="238"/>
      </rPr>
      <t xml:space="preserve"> </t>
    </r>
  </si>
  <si>
    <t>Maršov nad Metují, Petrovičky</t>
  </si>
  <si>
    <t>Hlavňov, Hony, Pěkov, Radešov, Velká Ledhuje</t>
  </si>
  <si>
    <r>
      <t xml:space="preserve">Dolní Dehtov, Horní Dehtov, </t>
    </r>
    <r>
      <rPr>
        <sz val="10"/>
        <color indexed="23"/>
        <rFont val="Arial Narrow"/>
        <family val="2"/>
        <charset val="238"/>
      </rPr>
      <t>(+Hliníky, Chaloupky, Zvičina)</t>
    </r>
  </si>
  <si>
    <r>
      <rPr>
        <sz val="8"/>
        <rFont val="Calibri"/>
        <family val="2"/>
        <charset val="238"/>
      </rPr>
      <t>Ø</t>
    </r>
    <r>
      <rPr>
        <sz val="8"/>
        <rFont val="Arial Narrow"/>
        <family val="2"/>
      </rPr>
      <t xml:space="preserve"> roční rozpočet
 (v mil.Kč)</t>
    </r>
  </si>
  <si>
    <t>Ø roční investice
(v mil.Kč)</t>
  </si>
  <si>
    <t>STATISTICKÁ DATA</t>
  </si>
  <si>
    <t>ZÁKLADNÍ</t>
  </si>
  <si>
    <t>VÝVOJ POČTU OBYVATEL</t>
  </si>
  <si>
    <t>STRUKTURA OBYV.</t>
  </si>
  <si>
    <t>% podíl dětí do 15-ti let</t>
  </si>
  <si>
    <t>% neza-městna-nosti</t>
  </si>
  <si>
    <t>% podíl seniorů</t>
  </si>
  <si>
    <t>% podíl obyv. v produkt. věku</t>
  </si>
  <si>
    <t>PŘEHLED DAT OBCÍ KHK</t>
  </si>
  <si>
    <t>DOTACE Z ROZPOČTU KHK 2012-2016</t>
  </si>
  <si>
    <t xml:space="preserve">I.stupeň </t>
  </si>
  <si>
    <t>2 státní, veřejná</t>
  </si>
  <si>
    <t>2 - státní, veřejná (Bystřice)</t>
  </si>
  <si>
    <t>4 - státní, veřejná (3x)</t>
  </si>
  <si>
    <t xml:space="preserve">2 - státní, veřejná  </t>
  </si>
  <si>
    <t>logopedická</t>
  </si>
  <si>
    <t>4 - státní (Olešnice, Červ.Hora), veřejná (2x)</t>
  </si>
  <si>
    <t>2 - veřejná</t>
  </si>
  <si>
    <t>2 - veřejná (meziměstí, Vižňov)</t>
  </si>
  <si>
    <t>4 - státní (3x), veřejná</t>
  </si>
  <si>
    <t>5 - státní, soukromá (4x)</t>
  </si>
  <si>
    <t>2 - soukromá</t>
  </si>
  <si>
    <t>16 - státní (5x), církevní, soukromá, veřejná (9x)</t>
  </si>
  <si>
    <t>2 - soukromá (+Nepasice)</t>
  </si>
  <si>
    <t>www.obecadrspach.cz</t>
  </si>
  <si>
    <t>www.bacetin.cz</t>
  </si>
  <si>
    <t>www.barchov.cz</t>
  </si>
  <si>
    <t>www.bechary.cz</t>
  </si>
  <si>
    <t>ČOV</t>
  </si>
  <si>
    <t>kanali-zace</t>
  </si>
  <si>
    <t>vlak</t>
  </si>
  <si>
    <t>SDH</t>
  </si>
  <si>
    <t>www.albrechtice-nad-orlici.cz</t>
  </si>
  <si>
    <t>www.ou-babice.cz</t>
  </si>
  <si>
    <t>tělocvična</t>
  </si>
  <si>
    <t>www.bacalky.cz</t>
  </si>
  <si>
    <t xml:space="preserve">hřiště  </t>
  </si>
  <si>
    <t>491616906, 494 599 123</t>
  </si>
  <si>
    <t>www.obec-basnice.cz</t>
  </si>
  <si>
    <t>hasiči</t>
  </si>
  <si>
    <t>www.belec.trebechovicko.cz</t>
  </si>
  <si>
    <t>podatelna@benatkynb.cz</t>
  </si>
  <si>
    <t>podatelna@obecbernartice.cz</t>
  </si>
  <si>
    <t>www.obecbernartice.cz</t>
  </si>
  <si>
    <t>www.bezdekov.org</t>
  </si>
  <si>
    <t>obec@bezdekov.org</t>
  </si>
  <si>
    <t>info@bilatremesna.cz</t>
  </si>
  <si>
    <t>www.bilatremesna.cz</t>
  </si>
  <si>
    <t>bilepolicany@atlas.cz</t>
  </si>
  <si>
    <t>www.bilepolicany.cz</t>
  </si>
  <si>
    <t>www.bilskouhoric.cz</t>
  </si>
  <si>
    <t>www.bilyujezd.cz</t>
  </si>
  <si>
    <t>blesno@blesno.cz</t>
  </si>
  <si>
    <t>www.blesno.org</t>
  </si>
  <si>
    <t>ou@bohanka.org</t>
  </si>
  <si>
    <t>www.bohanka.org</t>
  </si>
  <si>
    <t>www.boharyne.cz</t>
  </si>
  <si>
    <t>obec.bohdasin@worldonline.cz</t>
  </si>
  <si>
    <t>www.bohdasin.cz</t>
  </si>
  <si>
    <t>podatelna@bohuslavice.com</t>
  </si>
  <si>
    <t>www.bohuslavice.com</t>
  </si>
  <si>
    <t>www.borovnice.info</t>
  </si>
  <si>
    <t>www.borovnice.cz</t>
  </si>
  <si>
    <t>stadion, hřiště, tělocvična</t>
  </si>
  <si>
    <t>www.bolehost.cz</t>
  </si>
  <si>
    <t>www.ouborek.estranky.cz</t>
  </si>
  <si>
    <t>podatelna@mestoborohradek.cz</t>
  </si>
  <si>
    <t>www.mestoborohradek.cz</t>
  </si>
  <si>
    <t>3 hřiště, 2 tělocvičny, 1 stadion</t>
  </si>
  <si>
    <t>www.borovaunachoda.cz</t>
  </si>
  <si>
    <t>2 hřiště</t>
  </si>
  <si>
    <t>3 ostatní</t>
  </si>
  <si>
    <t>busak@borovnice.cz</t>
  </si>
  <si>
    <t>www.brzice.cz</t>
  </si>
  <si>
    <t>www.borovnicka.eu</t>
  </si>
  <si>
    <t>podatelna@obecbozanov.cz</t>
  </si>
  <si>
    <t>www.obecbozanov.cz</t>
  </si>
  <si>
    <t>www.brada-rybnicek.cz</t>
  </si>
  <si>
    <t>podatelna@broumov-mesto.cz</t>
  </si>
  <si>
    <t>www.broumov-mesto.cz</t>
  </si>
  <si>
    <t>HZS</t>
  </si>
  <si>
    <t>obec@brzice.cz</t>
  </si>
  <si>
    <t>www.brezina-obec.cz</t>
  </si>
  <si>
    <t>www.bristany.cz</t>
  </si>
  <si>
    <t>koupaliště a hřiště</t>
  </si>
  <si>
    <t>obec.bukovice@iol.cz</t>
  </si>
  <si>
    <t>www.obecbukovice.cz</t>
  </si>
  <si>
    <t>info@obecbukvice.cz</t>
  </si>
  <si>
    <t>www.obecbukvice.cz</t>
  </si>
  <si>
    <t>www.obecbystre.cz</t>
  </si>
  <si>
    <t>veřejný vodovod</t>
  </si>
  <si>
    <t>www.obcecr.cz/butoves/</t>
  </si>
  <si>
    <t>koupaliště, hřiště a tělocvična</t>
  </si>
  <si>
    <t>www.obecbystrice.cz</t>
  </si>
  <si>
    <t>3 hřiště</t>
  </si>
  <si>
    <t>(Součková Miroslava, Ing.)</t>
  </si>
  <si>
    <t>www.byzhradec.dobruska.cz</t>
  </si>
  <si>
    <t>ou@cerekvice.cz</t>
  </si>
  <si>
    <t>www.cerekvice.cz</t>
  </si>
  <si>
    <t>e-podatelna@ou-castolovice.cz</t>
  </si>
  <si>
    <t>www.ou-castolovice.cz</t>
  </si>
  <si>
    <t>www.cermna-n-orl.cz</t>
  </si>
  <si>
    <t>2 hřiště, 1 tělocvična</t>
  </si>
  <si>
    <t>www.obec-cermna.cz</t>
  </si>
  <si>
    <t>hřiště, tělocvična, stadion</t>
  </si>
  <si>
    <t>www.cerncice.eu</t>
  </si>
  <si>
    <t>hřiště a tělocvična</t>
  </si>
  <si>
    <t>www.cernikovice.cz</t>
  </si>
  <si>
    <t>cernilov@iol.cz</t>
  </si>
  <si>
    <t>www.cernilov.eu</t>
  </si>
  <si>
    <t>3 hřiště, 2 tělocvičny</t>
  </si>
  <si>
    <t>www.cernozice.cz</t>
  </si>
  <si>
    <t>podatelna@cernydul.cz</t>
  </si>
  <si>
    <t>www.cernydul.cz</t>
  </si>
  <si>
    <t>2018?</t>
  </si>
  <si>
    <t>obec@cervenahora.cz</t>
  </si>
  <si>
    <t>www.cervenahora.cz</t>
  </si>
  <si>
    <t>koupaliště, 2 hřiště, tělocvična</t>
  </si>
  <si>
    <t>www.cervenatremesna.cz</t>
  </si>
  <si>
    <t>2 koupaliště, 7 hřišť, 8 tělocvičen</t>
  </si>
  <si>
    <t>mestock@mestock.cz</t>
  </si>
  <si>
    <t>www.cervenykostelec.cz</t>
  </si>
  <si>
    <t>oucece@quick.cz</t>
  </si>
  <si>
    <t>www.ceskacermna.cz</t>
  </si>
  <si>
    <t>ceska.metuje@seznam.cz</t>
  </si>
  <si>
    <t>www.ceskametuje.cz</t>
  </si>
  <si>
    <t>koupaliště, 7 hřišť, 2 tělocvičny, stadion</t>
  </si>
  <si>
    <t>zdarek@ceskemezirici.cz</t>
  </si>
  <si>
    <t>Žďárek Milan, Ing.</t>
  </si>
  <si>
    <t>www.ceskemezirici.cz</t>
  </si>
  <si>
    <t>http://web.telecom.cz/obeccestice/</t>
  </si>
  <si>
    <t>hřiště a stadion</t>
  </si>
  <si>
    <t>493 55 565</t>
  </si>
  <si>
    <t>www.cisteves.cz</t>
  </si>
  <si>
    <t>www.obec-destne.cz</t>
  </si>
  <si>
    <t>Křížová Alena</t>
  </si>
  <si>
    <t>3 hřiště, tělocvična</t>
  </si>
  <si>
    <t>www.obecdetenice.cz</t>
  </si>
  <si>
    <t>2 hřiště, tělocvična</t>
  </si>
  <si>
    <t>www.dilce.e-obec.cz</t>
  </si>
  <si>
    <t>www.divec.cz</t>
  </si>
  <si>
    <t>hřiště</t>
  </si>
  <si>
    <t>www.dobravodauhoric.cz</t>
  </si>
  <si>
    <t>www.obecdobre.cz</t>
  </si>
  <si>
    <t>posta@mestodobruska.cz</t>
  </si>
  <si>
    <t>www.mestodobruska.cz</t>
  </si>
  <si>
    <t>koupaliště, bazén, 9 hřišť, 2 tělocvičny, stadion</t>
  </si>
  <si>
    <t>www.obecdobrany.cz</t>
  </si>
  <si>
    <t>www.dobrenice.cz</t>
  </si>
  <si>
    <t>www.dohalice.cz</t>
  </si>
  <si>
    <t>2 hřiště, 2 tělocvičny</t>
  </si>
  <si>
    <t>www.dolany-na.cz</t>
  </si>
  <si>
    <t>hřiště, 2 tělocvičny</t>
  </si>
  <si>
    <t>obec@dbranna.cz</t>
  </si>
  <si>
    <t>www.dbranna.cz</t>
  </si>
  <si>
    <t>www.dolnibrusnice.cz</t>
  </si>
  <si>
    <t>www.dolnidvur.cz</t>
  </si>
  <si>
    <t>obec@dolnikalna.cz</t>
  </si>
  <si>
    <t>www.dolnikalna.cz</t>
  </si>
  <si>
    <t>ou@dolnilanov.cz</t>
  </si>
  <si>
    <t>www.dolnilanov.cz</t>
  </si>
  <si>
    <t>www.dolni-prim.cz</t>
  </si>
  <si>
    <t>www.dolnilochov.cz</t>
  </si>
  <si>
    <t>www.dolniolesnice.cz</t>
  </si>
  <si>
    <t>www.dolniradechova.cz</t>
  </si>
  <si>
    <t>www.doubravice.cz</t>
  </si>
  <si>
    <t>obec.doubravice@telecom.cz</t>
  </si>
  <si>
    <t>obec@doudleby.cz</t>
  </si>
  <si>
    <t>www.doudleby.cz</t>
  </si>
  <si>
    <t>603869708, 494383007</t>
  </si>
  <si>
    <t>www.drevenice.org</t>
  </si>
  <si>
    <t>10 hřišť a tělocvična</t>
  </si>
  <si>
    <t>dubenec@dubenec.cz</t>
  </si>
  <si>
    <t>www.dubenec.cz</t>
  </si>
  <si>
    <t>www.hajnice.cz</t>
  </si>
  <si>
    <t>epodatelna@mudk.cz</t>
  </si>
  <si>
    <t>www.mudk.cz</t>
  </si>
  <si>
    <t>734392179, 499318217</t>
  </si>
  <si>
    <t>www.habrina.cz</t>
  </si>
  <si>
    <t>www.holohlavy.cz</t>
  </si>
  <si>
    <t>www.horenice.cz</t>
  </si>
  <si>
    <t>obec@havlovice.cz </t>
  </si>
  <si>
    <t>www.havlovice.cz</t>
  </si>
  <si>
    <t>www.holovousy.cz</t>
  </si>
  <si>
    <t>724182792, 491 521 490</t>
  </si>
  <si>
    <t>obec.hejtmankovice@tiscali.cz</t>
  </si>
  <si>
    <t>www.hejtmankovice.cz</t>
  </si>
  <si>
    <t>www.obec-hermanice.cz</t>
  </si>
  <si>
    <t>trejbal@suprashoe.cz</t>
  </si>
  <si>
    <t>www.hlusice.com</t>
  </si>
  <si>
    <t>www.obechr.com</t>
  </si>
  <si>
    <t>5 hřišť, 2 tělocvičny</t>
  </si>
  <si>
    <t>www.hermankovice.cz</t>
  </si>
  <si>
    <t>www.horniolesnice.cz</t>
  </si>
  <si>
    <t>www.horicky.cz</t>
  </si>
  <si>
    <t>www.horineves.cz</t>
  </si>
  <si>
    <t>epodatelna@hnevceves.cz</t>
  </si>
  <si>
    <t>www.hnevceves.cz</t>
  </si>
  <si>
    <t>www.holin.e-obec.cz</t>
  </si>
  <si>
    <t>www.hornibrusnice.cz</t>
  </si>
  <si>
    <t>www.hornikalna.cz</t>
  </si>
  <si>
    <t>obec@hornimarsov.cz</t>
  </si>
  <si>
    <t>www.hornimarsov.cz</t>
  </si>
  <si>
    <t>4 hřiště, tělocvična</t>
  </si>
  <si>
    <t>mesturad@horice.org</t>
  </si>
  <si>
    <t>www.horice.org</t>
  </si>
  <si>
    <t>koupaliště, 8 hřišť, 7 tělocvičen, stadion</t>
  </si>
  <si>
    <t>kuthanova@horineves.cz</t>
  </si>
  <si>
    <t>starostka@muhostinne.cz </t>
  </si>
  <si>
    <t>www.hostinne.info</t>
  </si>
  <si>
    <t>koupaliště, hřiště, 2 tělocvičny, stadion</t>
  </si>
  <si>
    <t>epodatelna@mmhk.cz</t>
  </si>
  <si>
    <t>www.hradeckralove.org</t>
  </si>
  <si>
    <t>www.hradek-u-nechanic.cz</t>
  </si>
  <si>
    <t>736629640, 491 483 622</t>
  </si>
  <si>
    <t>mestohronov@mestohronov.cz</t>
  </si>
  <si>
    <t>www.mestohronov.cz</t>
  </si>
  <si>
    <t>7 hřišť, 6 tělocvičen, stadion a zimní stadion</t>
  </si>
  <si>
    <t>3, 2 veřejné a</t>
  </si>
  <si>
    <t>www.hribiny-ledska.cz</t>
  </si>
  <si>
    <t>info@hribojedy.cz</t>
  </si>
  <si>
    <t>www.hribojedy.cz</t>
  </si>
  <si>
    <t>www.hvozdnice.cz</t>
  </si>
  <si>
    <t>koupaliště a 2 hřiště</t>
  </si>
  <si>
    <t>www.humburky.cz</t>
  </si>
  <si>
    <t>www.chleny.cz</t>
  </si>
  <si>
    <t>www.obec-hyncice.cz</t>
  </si>
  <si>
    <t>www.cholenice.cz</t>
  </si>
  <si>
    <t>www.chlistov.unas.cz</t>
  </si>
  <si>
    <t>2, veřejná</t>
  </si>
  <si>
    <t>koupaliště, 2 hřiště, 2 tělocvičny, stadion</t>
  </si>
  <si>
    <t>www.chotec.cz</t>
  </si>
  <si>
    <t>www.choustnikovohradiste.cz</t>
  </si>
  <si>
    <t>493691725, 493539396</t>
  </si>
  <si>
    <t>www.obec-chomutice.cz</t>
  </si>
  <si>
    <t>3 hřiště, tělocvična, stadion, zimní stadion</t>
  </si>
  <si>
    <t>493 792 614, 603313788</t>
  </si>
  <si>
    <t>celkem č.p. + č.e.</t>
  </si>
  <si>
    <t>www.chvalkovice.cz</t>
  </si>
  <si>
    <t>1 + logopedická</t>
  </si>
  <si>
    <t>www.chuderice.cz</t>
  </si>
  <si>
    <t>www.chvalec.cz</t>
  </si>
  <si>
    <t>obec.chvalec@tiscali.cz</t>
  </si>
  <si>
    <t>2 koupaliště, 2 hřiště a tělocvična</t>
  </si>
  <si>
    <t>starosta@chvalkovice.cz</t>
  </si>
  <si>
    <t>koupaliště, 5 hřišť a tělocvična</t>
  </si>
  <si>
    <t>www.jahodov.inu.cz</t>
  </si>
  <si>
    <t>www.janovobec.cz</t>
  </si>
  <si>
    <t>www.janske-lazne.cz</t>
  </si>
  <si>
    <t>mesto@janske-lazne.cz</t>
  </si>
  <si>
    <t>podatelna@jaromer-josefov.cz</t>
  </si>
  <si>
    <t>604250150, 491847120</t>
  </si>
  <si>
    <t>www.jaromer-josefov.cz</t>
  </si>
  <si>
    <t>2 koupaliště, 6 hřišť, 7 tělocvičen, 2 stadiony</t>
  </si>
  <si>
    <t>www.obec-jasenna.cz</t>
  </si>
  <si>
    <t>obec@obecjavornice.cz</t>
  </si>
  <si>
    <t>www.javornice.cz</t>
  </si>
  <si>
    <t>www.jenikovice.trebechovicko.cz</t>
  </si>
  <si>
    <t xml:space="preserve">stadion </t>
  </si>
  <si>
    <t>Páldi Ernest, Ing.</t>
  </si>
  <si>
    <t>2 hřiště a tělocvična</t>
  </si>
  <si>
    <t>www.jestrebinadmetuji.cz</t>
  </si>
  <si>
    <t>školní</t>
  </si>
  <si>
    <t>www.jetrichov.cz</t>
  </si>
  <si>
    <t>www.jivka.cz</t>
  </si>
  <si>
    <t>730193988, 493 545 103</t>
  </si>
  <si>
    <t>posta@mujicin.cz</t>
  </si>
  <si>
    <t>www.mujicin.cz</t>
  </si>
  <si>
    <t>www.jicineves.cz</t>
  </si>
  <si>
    <t>6,  4x - veřejná (3x + Milíčeves)</t>
  </si>
  <si>
    <t>2  tělocvičny</t>
  </si>
  <si>
    <t>www.kacakovalhota.e-obec.cz</t>
  </si>
  <si>
    <t>www.karanice.cz</t>
  </si>
  <si>
    <t>www.klamos.cz</t>
  </si>
  <si>
    <t>www.obeckbelnice.cz</t>
  </si>
  <si>
    <t>www.klasterskalhota.cz</t>
  </si>
  <si>
    <t>www.kneznice.cz</t>
  </si>
  <si>
    <t>ou.kocbere@cmail.cz</t>
  </si>
  <si>
    <t>www.kocbere.cz</t>
  </si>
  <si>
    <t>starosta.kocbere@cmail.cz</t>
  </si>
  <si>
    <t>www.kohoutov.info</t>
  </si>
  <si>
    <t>www.konecchlumi-obec.cz</t>
  </si>
  <si>
    <t>starosta@konecchlumi-obec.cz</t>
  </si>
  <si>
    <t>602410821, 493655691</t>
  </si>
  <si>
    <t>starosta@kopidlno.cz</t>
  </si>
  <si>
    <t>www.kopidlno.cz</t>
  </si>
  <si>
    <t>www.kosice.cz</t>
  </si>
  <si>
    <t>4 hřiště, 4 tělocvičny, zimní stadion</t>
  </si>
  <si>
    <t>www.kostelec-jc.cz</t>
  </si>
  <si>
    <t>www.kosicky.cz</t>
  </si>
  <si>
    <t>778538431, 494337267</t>
  </si>
  <si>
    <t>podatelna@muko.cz</t>
  </si>
  <si>
    <t>www.kostelecno.cz</t>
  </si>
  <si>
    <t>koupaliště, 7 hřišť, 3 tělocvičny, stadion</t>
  </si>
  <si>
    <t>www.kosteleckehorky.cz</t>
  </si>
  <si>
    <t>www.obeckounov.cz</t>
  </si>
  <si>
    <t>www.kovac-obec.cz</t>
  </si>
  <si>
    <t>www.kozojedy.com</t>
  </si>
  <si>
    <t>www.kramolna.cz</t>
  </si>
  <si>
    <t>3 hřiště a tělocvična</t>
  </si>
  <si>
    <t>www.ou.kraliky.info</t>
  </si>
  <si>
    <t>www.kralovalhota.cz</t>
  </si>
  <si>
    <t>www.obeckralovec.cz</t>
  </si>
  <si>
    <t>www.kratonohy.cz</t>
  </si>
  <si>
    <t>obec@kratonohy.cz</t>
  </si>
  <si>
    <t>www.obec-krchleby.cz</t>
  </si>
  <si>
    <t>www.krinice.cz</t>
  </si>
  <si>
    <t>www.kuncice.cz</t>
  </si>
  <si>
    <t>www.lanzov.cz</t>
  </si>
  <si>
    <t>www.kuncice.info</t>
  </si>
  <si>
    <t>4 hřiště</t>
  </si>
  <si>
    <t>podatelna@obec-kvasiny.cz</t>
  </si>
  <si>
    <t>602190886, 494 596 093</t>
  </si>
  <si>
    <t>www.obec-kvasiny.cz</t>
  </si>
  <si>
    <t>www.kyje.webz.cz</t>
  </si>
  <si>
    <t>www.obeclampertice.cz</t>
  </si>
  <si>
    <t>obec@lanov.cz</t>
  </si>
  <si>
    <t>www.lanov.cz</t>
  </si>
  <si>
    <t>podatelna@lazne-belohrad.cz</t>
  </si>
  <si>
    <t>12 hřišť a 4 tělocvičny</t>
  </si>
  <si>
    <t>www.ledce.eu</t>
  </si>
  <si>
    <t>www.lejsovka.cz</t>
  </si>
  <si>
    <t>www.lhotapodhorickami.cz</t>
  </si>
  <si>
    <t>www.obeclhoty.cz</t>
  </si>
  <si>
    <t>774959569, 491110613</t>
  </si>
  <si>
    <t>podatelna@mestoliban.cz</t>
  </si>
  <si>
    <t>www.mestoliban.cz</t>
  </si>
  <si>
    <t>obec@libcany.cz</t>
  </si>
  <si>
    <t>www.libcany.cz</t>
  </si>
  <si>
    <t>www.libchyne.cz</t>
  </si>
  <si>
    <t>www.licno.cz</t>
  </si>
  <si>
    <t>778540890, 494322024</t>
  </si>
  <si>
    <t>www.oulibel.cz</t>
  </si>
  <si>
    <t>731108496, 494 545 900</t>
  </si>
  <si>
    <t>www.obec-liberk.cz</t>
  </si>
  <si>
    <t>obeclibchyne@atlas.cz</t>
  </si>
  <si>
    <t>www.libnatov.cz</t>
  </si>
  <si>
    <t>www.libotov.cz</t>
  </si>
  <si>
    <t>libnikovice@volny.cz</t>
  </si>
  <si>
    <t>www.libnikovice.cz</t>
  </si>
  <si>
    <t>www.libosovice.craj.cz</t>
  </si>
  <si>
    <t>www.librantice.cz</t>
  </si>
  <si>
    <t>koupaliště, 3 hřiště, 2 tělocvičny</t>
  </si>
  <si>
    <t>www.obeclibrice.cz</t>
  </si>
  <si>
    <t>ou@libun.cz</t>
  </si>
  <si>
    <t>www.libun.cz</t>
  </si>
  <si>
    <t>www.litic.cz</t>
  </si>
  <si>
    <t>lipa@nadorlici.cz</t>
  </si>
  <si>
    <t>www.lipanadorlici.cz</t>
  </si>
  <si>
    <t>www.liskovice.cz</t>
  </si>
  <si>
    <t>www.lisice.eu</t>
  </si>
  <si>
    <t>litobor@seznam.cz</t>
  </si>
  <si>
    <t>www.litobor.webnode.cz</t>
  </si>
  <si>
    <t>koupaliště</t>
  </si>
  <si>
    <t>www.lodin.cz</t>
  </si>
  <si>
    <t>www.obec-lochenice.cz</t>
  </si>
  <si>
    <t>www.lovcice.eu</t>
  </si>
  <si>
    <t>obec@lovcice.eu</t>
  </si>
  <si>
    <t>stadion</t>
  </si>
  <si>
    <t>obec@lukavec.eu</t>
  </si>
  <si>
    <t>www.lukavec.eu</t>
  </si>
  <si>
    <t>www.lukavice.cz</t>
  </si>
  <si>
    <t>www.obeclupenice.cz</t>
  </si>
  <si>
    <t>www.luzanynt.cz</t>
  </si>
  <si>
    <t>www.luzany.cz</t>
  </si>
  <si>
    <t xml:space="preserve">m.mitlohner@centrum.cz </t>
  </si>
  <si>
    <t>koupaliště, 2 hřiště a tělocvična</t>
  </si>
  <si>
    <t>obec.luzec@quick.cz</t>
  </si>
  <si>
    <t>www.luzecnadcidlinou.cz</t>
  </si>
  <si>
    <t>604569525, 491547293</t>
  </si>
  <si>
    <t>machov-obec@machov-obec.cz</t>
  </si>
  <si>
    <t>www.machov-obec.cz</t>
  </si>
  <si>
    <t>obydle- ných domů</t>
  </si>
  <si>
    <t xml:space="preserve">% obyv. připoje-ných na plyn </t>
  </si>
  <si>
    <t>% obyv. připoje- ných na kanal. síť</t>
  </si>
  <si>
    <t>plyno- vod</t>
  </si>
  <si>
    <t>% vík- end. chalup</t>
  </si>
  <si>
    <t xml:space="preserve">z toho % rod. domů </t>
  </si>
  <si>
    <t>% dojíždě- jících</t>
  </si>
  <si>
    <t>www.malaupa.cz</t>
  </si>
  <si>
    <t>podatelna@malaupa.cz</t>
  </si>
  <si>
    <t>bazén a tělocvična</t>
  </si>
  <si>
    <t>www.malesvatonovice.cz</t>
  </si>
  <si>
    <t>podatelna@malesvatonovice.cz</t>
  </si>
  <si>
    <t>koupaliště, 9 hřišť, 2 tělocvičny, otevřený a krytý stadion</t>
  </si>
  <si>
    <t>www.markvarticejc.cz</t>
  </si>
  <si>
    <t>www.obecmarsov.cz</t>
  </si>
  <si>
    <t>www.martinkovice.cz</t>
  </si>
  <si>
    <t xml:space="preserve">obec@martinkovice.cz; obec.martinkovice@tiscali.cz </t>
  </si>
  <si>
    <t>www.maslojedy.cz</t>
  </si>
  <si>
    <t>www.menik.cz</t>
  </si>
  <si>
    <t>www.mezileci.cz</t>
  </si>
  <si>
    <t>www.mezilesi.cz</t>
  </si>
  <si>
    <t>www.mezimesti.cz</t>
  </si>
  <si>
    <t>www.miletin.cz</t>
  </si>
  <si>
    <t>podatelna@mezimesti.cz</t>
  </si>
  <si>
    <t>607945459, 491 580 274</t>
  </si>
  <si>
    <t>koupaliště, 8 hřišť, 2 tělocvičny</t>
  </si>
  <si>
    <t>obec.miletin@iol.cz</t>
  </si>
  <si>
    <t>www.miloviceuhoric.cz</t>
  </si>
  <si>
    <t>obecni.urad@miloviceuhoric.cz</t>
  </si>
  <si>
    <t>koupaliště, 4 hřiště a tělocvična</t>
  </si>
  <si>
    <t>www.obecmladebuky.cz</t>
  </si>
  <si>
    <t>info@mestysmladebuky.cz; podatelna@mestysmladebuky.cz</t>
  </si>
  <si>
    <t>4 hřiště, 3 tělocvičny, stadion</t>
  </si>
  <si>
    <t>www.mladejov.e-obec.cz</t>
  </si>
  <si>
    <t>www.mlazovice.cz</t>
  </si>
  <si>
    <t>www.mokrovousy.cz</t>
  </si>
  <si>
    <t>www.mlekosrby.cz</t>
  </si>
  <si>
    <t>494661294, 494 661 303 (mimo úř. hod.)</t>
  </si>
  <si>
    <t>www.mostek.cz</t>
  </si>
  <si>
    <t>603168351, 495447035</t>
  </si>
  <si>
    <t>info@mostek.cz</t>
  </si>
  <si>
    <t>www.mysteves.cz</t>
  </si>
  <si>
    <t>www.mzany.cz</t>
  </si>
  <si>
    <t>www.nahorany.blog.cz</t>
  </si>
  <si>
    <t>www.mestonachod.cz</t>
  </si>
  <si>
    <t>podatelna@mestonachod.cz</t>
  </si>
  <si>
    <t>731 628 305, 491 405 200</t>
  </si>
  <si>
    <t>krytý bazén, 12 hřišť, 9 tělocvičen, stadion a zimní stadion</t>
  </si>
  <si>
    <t>7 - státní (2x), veřejná (5x)</t>
  </si>
  <si>
    <t>www.nedeliste.cz</t>
  </si>
  <si>
    <t>koupaliště, 3 hřiště a tělocvična</t>
  </si>
  <si>
    <t>www.nechanice.cz</t>
  </si>
  <si>
    <t>www.nepolisy.cz</t>
  </si>
  <si>
    <t>5 hřišť, 3 tělocvičny</t>
  </si>
  <si>
    <t>info@nemojov.com; podatelna@nemojov.com</t>
  </si>
  <si>
    <t>www.nemojov.com</t>
  </si>
  <si>
    <t>www.nemyceves.cz</t>
  </si>
  <si>
    <t>starosta.nepolisy@volny.cz</t>
  </si>
  <si>
    <t>nepolisy@volny.cz</t>
  </si>
  <si>
    <t>734 616 990, 495 497 018</t>
  </si>
  <si>
    <t>www.obecnevratice.cz</t>
  </si>
  <si>
    <t>posta@munovapaka.cz</t>
  </si>
  <si>
    <t>737 289 740, 493 760 125</t>
  </si>
  <si>
    <t>3 - církevní, veřejná, veřejná</t>
  </si>
  <si>
    <t>3 hřiště, 5 tělocvičen, stadion, zimní stadion</t>
  </si>
  <si>
    <t>www.poorlicko.cz/novaves/</t>
  </si>
  <si>
    <t>www.munovapaka.cz</t>
  </si>
  <si>
    <t>www.obecnovemesto.cz</t>
  </si>
  <si>
    <t>www.novemestonm.cz</t>
  </si>
  <si>
    <t>posta@novemestonm.cz</t>
  </si>
  <si>
    <t>739 042 123, 491 419 601</t>
  </si>
  <si>
    <t>4 - soukromá, veřejná (3x)</t>
  </si>
  <si>
    <t>bazén, 9 hřišť, 7 tělocvičen, stadion, zimní stadion</t>
  </si>
  <si>
    <t>www.novybydzov.cz</t>
  </si>
  <si>
    <t>mesto@novybydzov.cz</t>
  </si>
  <si>
    <t>koupaliště, 3 hřiště, 5 tělocvičen, 2 stadiony, zimní stadion</t>
  </si>
  <si>
    <t>www.novy-hradek.cz</t>
  </si>
  <si>
    <t xml:space="preserve">uradmestyse@novy-hradek.cz </t>
  </si>
  <si>
    <t>728 581 434, 491 478 009</t>
  </si>
  <si>
    <t>2 koupaliště, 2 hřiště, 2 tělocvičny</t>
  </si>
  <si>
    <t>www.novyples.cz</t>
  </si>
  <si>
    <t>www.obecolesnice.cz</t>
  </si>
  <si>
    <t>739 535 950, 495 450 156</t>
  </si>
  <si>
    <t>www.obedovice.cz</t>
  </si>
  <si>
    <t>www.olesnice-nad-cidlinou.cz</t>
  </si>
  <si>
    <t>www.ocelice.trebechovicko.cz</t>
  </si>
  <si>
    <t>www.oharice.cz</t>
  </si>
  <si>
    <t>www.ohnisov.cz</t>
  </si>
  <si>
    <t>www.ohavec.e-obec.cz</t>
  </si>
  <si>
    <t>starostka@ohnisov.cz</t>
  </si>
  <si>
    <t>hřiště a 2 tělocvičny</t>
  </si>
  <si>
    <t>www.ohnistany.cz</t>
  </si>
  <si>
    <t>www.orlickezahori.eu</t>
  </si>
  <si>
    <t>www.osice.cz</t>
  </si>
  <si>
    <t>www.osicky.cz</t>
  </si>
  <si>
    <t>www.opocno.cz</t>
  </si>
  <si>
    <t>info@mu.opocno.cz</t>
  </si>
  <si>
    <t>koupaliště, hřiště, 3 tělocvičny, stadion, zimní stadion</t>
  </si>
  <si>
    <t>www.osecnice.cz</t>
  </si>
  <si>
    <t>obec.osecnice@tiscali.cz</t>
  </si>
  <si>
    <t>www.osekusobotky.cz</t>
  </si>
  <si>
    <t>Horák David, Ing.</t>
  </si>
  <si>
    <t>obec@osekusobotky.cz</t>
  </si>
  <si>
    <t>obyvatel v r.2016 oproti roku 1991</t>
  </si>
  <si>
    <t>počet obyvatel 1991</t>
  </si>
  <si>
    <t>493 576 116, 724 811 696</t>
  </si>
  <si>
    <t>www.ostromer.cz</t>
  </si>
  <si>
    <t>725 081 451, 493 691 148</t>
  </si>
  <si>
    <t>www.obecotovice.cz</t>
  </si>
  <si>
    <t>podatelna@pecpodsnezkou.cz</t>
  </si>
  <si>
    <t>www.pecpodsnezkou.cz</t>
  </si>
  <si>
    <t>2 bazény, 4 hřiště</t>
  </si>
  <si>
    <t>www.obec-pecka.cz</t>
  </si>
  <si>
    <t>koupaliště, hřiště, tělocvična</t>
  </si>
  <si>
    <t>obec@pecin.cz</t>
  </si>
  <si>
    <t>www.pecin.cz</t>
  </si>
  <si>
    <t>www.petrovice.eu</t>
  </si>
  <si>
    <t>www.petrovicky.unas.cz</t>
  </si>
  <si>
    <t>podatelna@pilnikov.cz</t>
  </si>
  <si>
    <t>603 558 852, 499 898 922</t>
  </si>
  <si>
    <t>www.obec-pisek.cz</t>
  </si>
  <si>
    <t>www.pilnikov.cz</t>
  </si>
  <si>
    <t>obec.pisek@tiscali.cz; info@obec-pisek.cz</t>
  </si>
  <si>
    <t>obec@podbrezi.cz</t>
  </si>
  <si>
    <t>www.podbrezi.cz</t>
  </si>
  <si>
    <t>www.podhorniujezd.cz</t>
  </si>
  <si>
    <t>koupaliště, 4 hřiště, 3 tělocvičny</t>
  </si>
  <si>
    <t>www.mestyspodhradi.cz</t>
  </si>
  <si>
    <t>www.podulsi.cz</t>
  </si>
  <si>
    <t>www.obecpohori.cz</t>
  </si>
  <si>
    <t>meu@meu-police.cz</t>
  </si>
  <si>
    <t>607 673 617, 491 541 114</t>
  </si>
  <si>
    <t>koupaliště, 5 hřišť, 3 tělocvičny, stadion</t>
  </si>
  <si>
    <t>www.meu-police.cz</t>
  </si>
  <si>
    <t>www.polom.cz</t>
  </si>
  <si>
    <t>e-podatelna@potstejn.cz</t>
  </si>
  <si>
    <t>603 415 959, 494 546 810</t>
  </si>
  <si>
    <t>www.potstejn.cz</t>
  </si>
  <si>
    <t>www.prasek.cz</t>
  </si>
  <si>
    <t>2 koupaliště, 2 hřiště</t>
  </si>
  <si>
    <t>praskacka@praskacka.cz</t>
  </si>
  <si>
    <t>www.praskacka.cz</t>
  </si>
  <si>
    <t>2 tělocvičny</t>
  </si>
  <si>
    <t>www.obecprosecne.cz</t>
  </si>
  <si>
    <t>www.obecpribyslav.cz</t>
  </si>
  <si>
    <t>724 180 860, 499 441 146</t>
  </si>
  <si>
    <t>www.provodovsonov.cz</t>
  </si>
  <si>
    <t>www.predmericenl.cz</t>
  </si>
  <si>
    <t>www.prevysov.cz</t>
  </si>
  <si>
    <t>Žižková Soňa</t>
  </si>
  <si>
    <t>www.psanky.info/obec/</t>
  </si>
  <si>
    <t>www.puchlovice.cz</t>
  </si>
  <si>
    <t>www.radvanice.cz</t>
  </si>
  <si>
    <t>www.racicenadtrotinou.cz</t>
  </si>
  <si>
    <t>www.radostov.cz</t>
  </si>
  <si>
    <t>www.radikovice.net</t>
  </si>
  <si>
    <t>www.obec-radim.cz</t>
  </si>
  <si>
    <t>www.rohenice.cz</t>
  </si>
  <si>
    <t>www.rasosky.cz</t>
  </si>
  <si>
    <t>www.obec-rasin.cz</t>
  </si>
  <si>
    <t xml:space="preserve">obec@rohenice.cz </t>
  </si>
  <si>
    <t>ou.rohoznice@seznam.cz</t>
  </si>
  <si>
    <t>www.rohoznice.eu</t>
  </si>
  <si>
    <t>www.rokytnany.e-obec.cz</t>
  </si>
  <si>
    <t>736 752 217, 494 379 021</t>
  </si>
  <si>
    <t>4 hřiště a tělocvična</t>
  </si>
  <si>
    <t>www.obecroudnice.cz</t>
  </si>
  <si>
    <t>mesto@mestortyne.cz</t>
  </si>
  <si>
    <t>www.rtyne.cz</t>
  </si>
  <si>
    <t>www.obecroznov.cz</t>
  </si>
  <si>
    <t>podatelna@rudnik.cz</t>
  </si>
  <si>
    <t>www.rudnik.cz</t>
  </si>
  <si>
    <t>www.obecricky.cz</t>
  </si>
  <si>
    <t>www.obecrikov.cz</t>
  </si>
  <si>
    <t>koupaliště, 3 hřiště, tělocvična</t>
  </si>
  <si>
    <t>www.obec.rybna.cz</t>
  </si>
  <si>
    <t>podatelna@rychnov-city.cz</t>
  </si>
  <si>
    <t>www.rychnov-city.cz</t>
  </si>
  <si>
    <t>koupaliště, 7 hřišť, 9 tělocvičen, stadion, zimní stadion</t>
  </si>
  <si>
    <t>6 - státní (Roveň), církevní, veřejná (3x), + 1</t>
  </si>
  <si>
    <t>www.rychnovek.cz</t>
  </si>
  <si>
    <t>www.obec-sber.cz</t>
  </si>
  <si>
    <t>www.sedlonov.cz</t>
  </si>
  <si>
    <t>www.semechnice.cz</t>
  </si>
  <si>
    <t>www.sendraz.cz</t>
  </si>
  <si>
    <t>www.sendrazice.cz</t>
  </si>
  <si>
    <t>www.skrivany.cz</t>
  </si>
  <si>
    <t>www.skuhrov.cz</t>
  </si>
  <si>
    <t>www.slatiny.cz</t>
  </si>
  <si>
    <t>www.slavetinnadmetuji.cz</t>
  </si>
  <si>
    <t>491 453 240</t>
  </si>
  <si>
    <t>www.samsina.nasweb.eu</t>
  </si>
  <si>
    <t>www.sedliste-jc.cz</t>
  </si>
  <si>
    <t>ou.sekerice@tiscali.cz</t>
  </si>
  <si>
    <t>www.sekerice.cz</t>
  </si>
  <si>
    <t>www.skalice.info</t>
  </si>
  <si>
    <t>skrivany@skrivany.cz; podatelna@skrivany.cz</t>
  </si>
  <si>
    <t>obec@slatinanadupou.cz</t>
  </si>
  <si>
    <t>www.slatinanadupou.cz</t>
  </si>
  <si>
    <t>obec@slatinanz.cz</t>
  </si>
  <si>
    <t>www.slatinanz.cz</t>
  </si>
  <si>
    <t>www.slavonov.cz</t>
  </si>
  <si>
    <t>www.sloupno.cz</t>
  </si>
  <si>
    <t>www.slavhostice.cz</t>
  </si>
  <si>
    <t>www.smidary.cz</t>
  </si>
  <si>
    <t>www.sobotka.cz</t>
  </si>
  <si>
    <t>www.solnice.cz</t>
  </si>
  <si>
    <t>podatelna@smidary.cz</t>
  </si>
  <si>
    <t>5 hřišť a tělocvična</t>
  </si>
  <si>
    <t>podatelna@smirice.cz; epodatelna@mestosmirice.cz</t>
  </si>
  <si>
    <t>777 332 690, 495 809 017</t>
  </si>
  <si>
    <t>www.smirice.cz</t>
  </si>
  <si>
    <t>www.smrzov.cz</t>
  </si>
  <si>
    <t>www.sobcice.cz</t>
  </si>
  <si>
    <t>6 hřišť a tělocvična</t>
  </si>
  <si>
    <t>www.snezne.net</t>
  </si>
  <si>
    <t>www.soberaz.cz</t>
  </si>
  <si>
    <t xml:space="preserve">urad@sobotka.cz; sobotka@craj.cz </t>
  </si>
  <si>
    <t>737 045 709, 493 544 392</t>
  </si>
  <si>
    <t>koupaliště, 5 hřišť, tělocvična, stadion</t>
  </si>
  <si>
    <t>778 700 457, 491 618 329</t>
  </si>
  <si>
    <t>www.sovetice.cz</t>
  </si>
  <si>
    <t>www.obec-stanovice.cz</t>
  </si>
  <si>
    <t>ou@starapaka.cz</t>
  </si>
  <si>
    <t>www.starapaka.cz</t>
  </si>
  <si>
    <t>obec.staravoda@seznam.cz</t>
  </si>
  <si>
    <t>www.staravodahk.cz</t>
  </si>
  <si>
    <t>obec.starebuky@tiscali.cz</t>
  </si>
  <si>
    <t>www.starebuky.cz</t>
  </si>
  <si>
    <t> 493 592 119</t>
  </si>
  <si>
    <t>www.stare-hrady.cz</t>
  </si>
  <si>
    <t>www.staremisto.cz</t>
  </si>
  <si>
    <t>www.staresmrkovice.cz</t>
  </si>
  <si>
    <t>www.starkov.cz</t>
  </si>
  <si>
    <t>www.starybydzov.cz</t>
  </si>
  <si>
    <t>www.stezery.cz</t>
  </si>
  <si>
    <t>www.stracov.cz</t>
  </si>
  <si>
    <t>technik@strazne.eu</t>
  </si>
  <si>
    <t>www.oustrazne.cz</t>
  </si>
  <si>
    <t>www.strevac.cz</t>
  </si>
  <si>
    <t>www.strezetice.cz</t>
  </si>
  <si>
    <t>urad@obecstudnicena.cz</t>
  </si>
  <si>
    <t>www.obecstudnicena.cz</t>
  </si>
  <si>
    <t>koupaliště, 4 hřiště, 2 tělocvičny</t>
  </si>
  <si>
    <t>obec.suchovrsice@tiscali.cz</t>
  </si>
  <si>
    <t>www.suchovrsice.cz</t>
  </si>
  <si>
    <t>www.syrovatka.cz</t>
  </si>
  <si>
    <t>www.suchydul.cz</t>
  </si>
  <si>
    <t>www.sveti.cz</t>
  </si>
  <si>
    <t>www.svidnice.cz</t>
  </si>
  <si>
    <t>www.sukorady.org</t>
  </si>
  <si>
    <t>www.svatojanskyujezd.cz</t>
  </si>
  <si>
    <t>podatelna@musvoboda.cz</t>
  </si>
  <si>
    <t>734 609 762, 499 871 074</t>
  </si>
  <si>
    <t>www.musvoboda.cz</t>
  </si>
  <si>
    <t>3 hřiště a stadion</t>
  </si>
  <si>
    <t>obec.synkov.slemeno@cmail.cz</t>
  </si>
  <si>
    <t>www.synkov-slemeno.cz</t>
  </si>
  <si>
    <t>www.saplava.cz</t>
  </si>
  <si>
    <t>www.sarovcova-lhota.cz</t>
  </si>
  <si>
    <t>www.obcemetuje.cz/index.php?obec=sestajovice</t>
  </si>
  <si>
    <t>sonov@obec.cz</t>
  </si>
  <si>
    <t>www.sonov.cz</t>
  </si>
  <si>
    <t>podatelna@mestospindleruvmlyn.cz</t>
  </si>
  <si>
    <t>725 086 572, 499 404 240</t>
  </si>
  <si>
    <t>www.mestospindleruvmlyn.cz</t>
  </si>
  <si>
    <t>Staruch Vladimír, Bc.</t>
  </si>
  <si>
    <t>4 kryté bazény, 4 hřiště a tělocvična</t>
  </si>
  <si>
    <t>www.obectechlovice.cz</t>
  </si>
  <si>
    <t>teplicenadmetuji.mesto@teplicenadmetuji.cz</t>
  </si>
  <si>
    <t>724 180 094, 491 581 204</t>
  </si>
  <si>
    <t>www.teplicenadmetuji.cz</t>
  </si>
  <si>
    <t>koupaliště, 3 hřiště, tělocvična, stadion</t>
  </si>
  <si>
    <t>www.tetin.e-obec.cz</t>
  </si>
  <si>
    <t>www.trnov.cz</t>
  </si>
  <si>
    <t>www.obec-trotina.cz</t>
  </si>
  <si>
    <t>mesto@trutnov.cz; podatelna@trutnov.cz</t>
  </si>
  <si>
    <t>www.trutnov.cz</t>
  </si>
  <si>
    <t>koupaliště, bazén, 22 hřišť, 14 tělocvičen, 2 stadiony, zimní stadion</t>
  </si>
  <si>
    <t>podatelna@mutrebechovice.cz</t>
  </si>
  <si>
    <t>603 525 542, 495 592 061</t>
  </si>
  <si>
    <t>www.trebechovice.cz</t>
  </si>
  <si>
    <t>koupaliště, 2 hřiště, 6 tělocvičen, stadion, zimní stadion</t>
  </si>
  <si>
    <t>724 185 864, 491 512 650</t>
  </si>
  <si>
    <t>www.trebesov.cz</t>
  </si>
  <si>
    <t>www.trebihost.cz</t>
  </si>
  <si>
    <t>www.trebnouseves.cz</t>
  </si>
  <si>
    <t>Císařová Vladimíra</t>
  </si>
  <si>
    <t>www.nechanicko.cz/tresovice</t>
  </si>
  <si>
    <t>www.trtenice.cz</t>
  </si>
  <si>
    <t>724 184 554, 493 555 051</t>
  </si>
  <si>
    <t>www.tur.e-obec.cz</t>
  </si>
  <si>
    <t>obec.tutleky@tiscali.cz</t>
  </si>
  <si>
    <t>www.tutleky.cz</t>
  </si>
  <si>
    <t>mestsky.urad@tyniste.cz</t>
  </si>
  <si>
    <t>725 518 180, 494 337 333</t>
  </si>
  <si>
    <t>www.tyniste.cz</t>
  </si>
  <si>
    <t>koupaliště, 5 hřišť, 2 tělocvičny, 2 stadiony</t>
  </si>
  <si>
    <t>www.ubislavice.cz</t>
  </si>
  <si>
    <t>www.udrnice.cz</t>
  </si>
  <si>
    <t>www.uhlejov.cz</t>
  </si>
  <si>
    <t>www.ujezdpodtroskami.e-obec.cz</t>
  </si>
  <si>
    <t>starosta@ulibice.cz</t>
  </si>
  <si>
    <t>www.ulibice.cz</t>
  </si>
  <si>
    <t>mupice@volny.cz</t>
  </si>
  <si>
    <t>724 180 862, 499 784 131</t>
  </si>
  <si>
    <t>www.upice.cz</t>
  </si>
  <si>
    <t>koupaliště, 4 hřiště, 5 tělocvičen, stadion</t>
  </si>
  <si>
    <t>urbanice@urbanice.cz; ou@urbanice.cz</t>
  </si>
  <si>
    <t>www.urbanice.cz</t>
  </si>
  <si>
    <t>www.val.cz</t>
  </si>
  <si>
    <t>www.valdice.cz</t>
  </si>
  <si>
    <t>ou@valdice.cz</t>
  </si>
  <si>
    <t>podatelna@vamberk-city.cz</t>
  </si>
  <si>
    <t>www.vamberk-city.cz</t>
  </si>
  <si>
    <t>koupaliště, 4 hřiště, 2 tělocvičny, stadion</t>
  </si>
  <si>
    <t>www.obecvelichovky.cz</t>
  </si>
  <si>
    <t>bazén a hřiště</t>
  </si>
  <si>
    <t>www.velis.cz</t>
  </si>
  <si>
    <t>info@velkajesenice.cz</t>
  </si>
  <si>
    <t>www.velkajesenice.cz</t>
  </si>
  <si>
    <t>www.velkepetrovice.cz</t>
  </si>
  <si>
    <t>ou@velkeporici.cz</t>
  </si>
  <si>
    <t>www.velkeporici.cz</t>
  </si>
  <si>
    <t>urad@velkesvatonovice.cz</t>
  </si>
  <si>
    <t>www.velkesvatonovice.cz</t>
  </si>
  <si>
    <t>velky.trebesov@email.cz</t>
  </si>
  <si>
    <t>www.velkytrebesov.cz</t>
  </si>
  <si>
    <t>epodatelna@velkyvrestov.cz</t>
  </si>
  <si>
    <t>www.velkyvrestov.cz</t>
  </si>
  <si>
    <t>www.vilantice.cz</t>
  </si>
  <si>
    <t>www.vitineves.cz</t>
  </si>
  <si>
    <t>www.obec-voderady.cz</t>
  </si>
  <si>
    <t>www.vernerovice.cz</t>
  </si>
  <si>
    <t>starosta@obecvestec.eu</t>
  </si>
  <si>
    <t>www.obecvestec.eu</t>
  </si>
  <si>
    <r>
      <t xml:space="preserve">Hostinka, Větrník, </t>
    </r>
    <r>
      <rPr>
        <sz val="10"/>
        <color theme="1" tint="0.499984740745262"/>
        <rFont val="Arial Narrow"/>
        <family val="2"/>
        <charset val="238"/>
      </rPr>
      <t>(+Nouzín)</t>
    </r>
  </si>
  <si>
    <t>obec@vidochov.cz </t>
  </si>
  <si>
    <t>www.vidochov.cz</t>
  </si>
  <si>
    <t>www.vinary.cz</t>
  </si>
  <si>
    <t>736 601 096, 495 491 180</t>
  </si>
  <si>
    <t>podatelna@vitezna.cz</t>
  </si>
  <si>
    <t>www.vitezna.cz</t>
  </si>
  <si>
    <t>podatelna@ou-vlcice.cz</t>
  </si>
  <si>
    <t>603 558 879, 499 899 240</t>
  </si>
  <si>
    <t>www.ou-vlcice.cz</t>
  </si>
  <si>
    <t>724 180 063, 499 392 115</t>
  </si>
  <si>
    <t>podatelna@vlckovice.cz</t>
  </si>
  <si>
    <t>www.vlckovice.cz</t>
  </si>
  <si>
    <t>www.obecvlkov.cz</t>
  </si>
  <si>
    <t>www.volanice.cz</t>
  </si>
  <si>
    <t>www.vrbice-jc.cz</t>
  </si>
  <si>
    <t>www.vrbice.info</t>
  </si>
  <si>
    <t>www.muvrchlabi.cz</t>
  </si>
  <si>
    <t>posta@muvrchlabi.cz</t>
  </si>
  <si>
    <t>602 320 809, 499 405 321</t>
  </si>
  <si>
    <t>koupaliště, bazén, 2 hřiště, 8 tělocvičen, 5 stadionů, krytý stadion, zimní stadion</t>
  </si>
  <si>
    <t>vrchovnice@tiscali.cz</t>
  </si>
  <si>
    <t>www.vrchovnice.cz</t>
  </si>
  <si>
    <t>www.vrsce.cz</t>
  </si>
  <si>
    <t xml:space="preserve">podatelna@vrsovka.cz </t>
  </si>
  <si>
    <t>www.vrsovka.cz</t>
  </si>
  <si>
    <t>www.vresnik.org</t>
  </si>
  <si>
    <t>724 184 485, 495 458 027</t>
  </si>
  <si>
    <t>koupaliště, bazén, 5 hřišť a tělocvična</t>
  </si>
  <si>
    <t>www.vsestary-obec.cz</t>
  </si>
  <si>
    <t>www.zabrodi.cz</t>
  </si>
  <si>
    <t>www.obeczamel.cz</t>
  </si>
  <si>
    <t>602 476 521, 495 480 590</t>
  </si>
  <si>
    <t>www.vyrava.cz</t>
  </si>
  <si>
    <t>info@vysoka-nad-labem.cz</t>
  </si>
  <si>
    <t>www.vysoka-nad-labem.cz</t>
  </si>
  <si>
    <t>www.vysokasrbska.cz</t>
  </si>
  <si>
    <t>mesto@vysokeveseli.cz</t>
  </si>
  <si>
    <t>www.vysokeveseli.cz</t>
  </si>
  <si>
    <t>www.vysokov.cz</t>
  </si>
  <si>
    <t>www.zalonov.cz</t>
  </si>
  <si>
    <t>www.ou-vysokyujezd.cz</t>
  </si>
  <si>
    <t>obec.zabrezi@worldonline.cz</t>
  </si>
  <si>
    <t>www.zabrezi-recice.cz</t>
  </si>
  <si>
    <t>www.zachrastany.cz</t>
  </si>
  <si>
    <t>www.zamosti-blata.e-obec.cz</t>
  </si>
  <si>
    <t>606 302 334</t>
  </si>
  <si>
    <t>725 081 342</t>
  </si>
  <si>
    <t>www.obec-zdechovice.cz</t>
  </si>
  <si>
    <t>sportovní areál</t>
  </si>
  <si>
    <t>www.zdelov.cz</t>
  </si>
  <si>
    <t>www.zdobin.cz</t>
  </si>
  <si>
    <t>www.zernov.cz</t>
  </si>
  <si>
    <t>podatelna@zdobnice.com</t>
  </si>
  <si>
    <t>www.zdobnice.com</t>
  </si>
  <si>
    <t>obec@zeleneckalhota.cz</t>
  </si>
  <si>
    <t>www.zeleneckalhota.cz</t>
  </si>
  <si>
    <t>podat.zl-olesnice@volny.cz</t>
  </si>
  <si>
    <t>www.obec-zlataolesnice.cz</t>
  </si>
  <si>
    <t>posta@zacler.cz</t>
  </si>
  <si>
    <t>www.zacler.cz</t>
  </si>
  <si>
    <t>2 hřiště, 5 tělocvičen, stadion</t>
  </si>
  <si>
    <t>www.zdarnadorlici.cz</t>
  </si>
  <si>
    <t>www.obeczdarky.cz</t>
  </si>
  <si>
    <t>www.zeleznice.net</t>
  </si>
  <si>
    <t>www.zeretice.org</t>
  </si>
  <si>
    <t>4 hřiště, 2 tělocvičny, stadion</t>
  </si>
  <si>
    <t>www.zidovice.e-obec.cz</t>
  </si>
  <si>
    <t>9 hřišť, 6 tělocvičen, 2 stadiony, 1 krytý stadion</t>
  </si>
  <si>
    <t>ano (Houdkovice)</t>
  </si>
  <si>
    <t>www.batnovice.cz</t>
  </si>
  <si>
    <t>1 statut. město, 47 měst, 12 městysů, 388 obcí</t>
  </si>
  <si>
    <t>ZAMĚSTNANOST</t>
  </si>
  <si>
    <t>primár- ní sektor v %</t>
  </si>
  <si>
    <t>terciár- ní sektor v %</t>
  </si>
  <si>
    <t>sekun- dární sektor v %</t>
  </si>
  <si>
    <t>INŽENÝRSKÉ SÍTĚ</t>
  </si>
  <si>
    <t>ŠKOLY</t>
  </si>
  <si>
    <t>KULTURA A SPORT</t>
  </si>
  <si>
    <t>SLUŽBY</t>
  </si>
  <si>
    <t xml:space="preserve">hřiště - sportovní areál </t>
  </si>
  <si>
    <t>info@dolnilochov.cz; dolni.lochov@gmail.com</t>
  </si>
  <si>
    <t>www.ostruzno.cz</t>
  </si>
  <si>
    <t>obec@butoves.cz</t>
  </si>
  <si>
    <t>koupaliště, krytý bazén, 3 hřiště, 2 tělocvičny</t>
  </si>
  <si>
    <t>krytý bazén, 5 hřišť, 5 tělocvičen, 2 stadiony</t>
  </si>
  <si>
    <t>koupaliště, 2 kryté bazény, 133 hřišť, 68 tělocvičen, 1 stadion, 2 kryté stadiony, 2 zimní stadiony</t>
  </si>
  <si>
    <t>2 kryté bazény, hřiště, tělocvična, 2 stadiony</t>
  </si>
  <si>
    <t>koupaliště, krytý bazén, 21 hřišť, 11 tělocvičen, stadion, zimní stadion</t>
  </si>
  <si>
    <r>
      <rPr>
        <i/>
        <sz val="10"/>
        <color theme="1" tint="0.34998626667073579"/>
        <rFont val="Arial Narrow"/>
        <family val="2"/>
        <charset val="238"/>
      </rPr>
      <t>Chudonice,</t>
    </r>
    <r>
      <rPr>
        <sz val="10"/>
        <color theme="1" tint="0.34998626667073579"/>
        <rFont val="Arial Narrow"/>
        <family val="2"/>
        <charset val="238"/>
      </rPr>
      <t xml:space="preserve"> Nová Skřeneř, Skochovice, Stará Skřeneř, Vysočany, Zábědov, Žantov, </t>
    </r>
    <r>
      <rPr>
        <sz val="10"/>
        <color indexed="23"/>
        <rFont val="Arial Narrow"/>
        <family val="2"/>
        <charset val="238"/>
      </rPr>
      <t>(+Doubravka, Metličany, Osek)</t>
    </r>
  </si>
  <si>
    <t>www.benatkynb.cz</t>
  </si>
  <si>
    <t>www.kobylice.cz</t>
  </si>
  <si>
    <r>
      <t xml:space="preserve">Chloumek, Skála, Votuz, </t>
    </r>
    <r>
      <rPr>
        <sz val="10"/>
        <color theme="1" tint="0.499984740745262"/>
        <rFont val="Arial Narrow"/>
        <family val="2"/>
        <charset val="238"/>
      </rPr>
      <t>(+Maňovice)</t>
    </r>
  </si>
  <si>
    <t>www.budceves.cz</t>
  </si>
  <si>
    <t>www.cesov-libesice.cz</t>
  </si>
  <si>
    <t>www.chyjice.wz.cz</t>
  </si>
  <si>
    <t>www.obecjinolice.cz</t>
  </si>
  <si>
    <t>URBANIZACE</t>
  </si>
  <si>
    <t>ano9, ano</t>
  </si>
  <si>
    <t xml:space="preserve">  </t>
  </si>
  <si>
    <t>vlada.grusman@tiscali.cz</t>
  </si>
  <si>
    <t>ou@staresmrkovice.cz</t>
  </si>
  <si>
    <t>ou@bolehost.cz</t>
  </si>
  <si>
    <t>info@ulibice.cz</t>
  </si>
  <si>
    <t>obec.vrbice@seznam.cz</t>
  </si>
  <si>
    <t>Martinec Petr, Bc.</t>
  </si>
  <si>
    <t>Fryčka Radim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</si>
</sst>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#,##0\ &quot;Kč&quot;;\-#,##0\ &quot;Kč&quot;"/>
    <numFmt numFmtId="42" formatCode="_-* #,##0\ &quot;Kč&quot;_-;\-* #,##0\ &quot;Kč&quot;_-;_-* &quot;-&quot;\ &quot;Kč&quot;_-;_-@_-"/>
    <numFmt numFmtId="164" formatCode="#,##0_ ;\-#,##0\ "/>
    <numFmt numFmtId="165" formatCode="_-* #,##0\ &quot;Kč&quot;_-;\-* #,##0\ &quot;Kč&quot;_-;_-* &quot;-&quot;??\ &quot;Kč&quot;_-;_-@_-"/>
    <numFmt numFmtId="166" formatCode="0.000"/>
    <numFmt numFmtId="167" formatCode="0.0"/>
    <numFmt numFmtId="168" formatCode="0.0%"/>
    <numFmt numFmtId="169" formatCode="#,##0.0"/>
  </numFmts>
  <fonts count="62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u/>
      <sz val="10"/>
      <color indexed="18"/>
      <name val="Arial CE"/>
      <charset val="238"/>
    </font>
    <font>
      <sz val="10"/>
      <name val="Arial CE"/>
      <charset val="238"/>
    </font>
    <font>
      <sz val="7"/>
      <name val="Arial Narrow"/>
      <family val="2"/>
      <charset val="238"/>
    </font>
    <font>
      <sz val="8"/>
      <name val="Arial Narrow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i/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</font>
    <font>
      <sz val="11"/>
      <name val="Arial Narrow"/>
      <family val="2"/>
    </font>
    <font>
      <u/>
      <sz val="8"/>
      <color indexed="18"/>
      <name val="Arial CE"/>
      <charset val="238"/>
    </font>
    <font>
      <sz val="8"/>
      <name val="Calibri"/>
      <family val="2"/>
      <charset val="238"/>
    </font>
    <font>
      <b/>
      <sz val="9"/>
      <name val="Arial Narrow"/>
      <family val="2"/>
    </font>
    <font>
      <sz val="6"/>
      <name val="Arial Narrow"/>
      <family val="2"/>
      <charset val="238"/>
    </font>
    <font>
      <sz val="10"/>
      <color indexed="63"/>
      <name val="Arial Narrow"/>
      <family val="2"/>
      <charset val="238"/>
    </font>
    <font>
      <i/>
      <sz val="10"/>
      <color indexed="63"/>
      <name val="Arial Narrow"/>
      <family val="2"/>
      <charset val="238"/>
    </font>
    <font>
      <i/>
      <sz val="9"/>
      <name val="Arial Narrow"/>
      <family val="2"/>
      <charset val="238"/>
    </font>
    <font>
      <b/>
      <i/>
      <sz val="9"/>
      <name val="Arial Narrow"/>
      <family val="2"/>
      <charset val="238"/>
    </font>
    <font>
      <sz val="10"/>
      <color indexed="23"/>
      <name val="Arial Narrow"/>
      <family val="2"/>
      <charset val="238"/>
    </font>
    <font>
      <sz val="7"/>
      <name val="Arial Narrow"/>
      <family val="2"/>
    </font>
    <font>
      <u/>
      <sz val="7"/>
      <color indexed="18"/>
      <name val="Arial CE"/>
      <charset val="238"/>
    </font>
    <font>
      <b/>
      <sz val="7"/>
      <name val="Arial Narrow"/>
      <family val="2"/>
      <charset val="238"/>
    </font>
    <font>
      <i/>
      <sz val="10"/>
      <color indexed="23"/>
      <name val="Arial Narrow"/>
      <family val="2"/>
      <charset val="238"/>
    </font>
    <font>
      <sz val="8"/>
      <name val="Arial CE"/>
      <charset val="238"/>
    </font>
    <font>
      <sz val="9"/>
      <name val="Arial Narrow"/>
      <family val="2"/>
    </font>
    <font>
      <i/>
      <sz val="7"/>
      <name val="Arial Narrow"/>
      <family val="2"/>
    </font>
    <font>
      <b/>
      <sz val="12"/>
      <name val="Baskerville Old Face"/>
      <family val="1"/>
    </font>
    <font>
      <i/>
      <sz val="7"/>
      <name val="Arial Narrow"/>
      <family val="2"/>
      <charset val="238"/>
    </font>
    <font>
      <b/>
      <sz val="6"/>
      <name val="Arial Narrow"/>
      <family val="2"/>
      <charset val="238"/>
    </font>
    <font>
      <i/>
      <sz val="6"/>
      <name val="Arial Narrow"/>
      <family val="2"/>
      <charset val="238"/>
    </font>
    <font>
      <sz val="10"/>
      <color theme="1" tint="0.34998626667073579"/>
      <name val="Arial Narrow"/>
      <family val="2"/>
      <charset val="238"/>
    </font>
    <font>
      <sz val="9"/>
      <color theme="1" tint="0.249977111117893"/>
      <name val="Arial Narrow"/>
      <family val="2"/>
      <charset val="238"/>
    </font>
    <font>
      <sz val="8"/>
      <color theme="1" tint="0.249977111117893"/>
      <name val="Arial Narrow"/>
      <family val="2"/>
      <charset val="238"/>
    </font>
    <font>
      <b/>
      <sz val="8"/>
      <color theme="1" tint="0.249977111117893"/>
      <name val="Arial Narrow"/>
      <family val="2"/>
      <charset val="238"/>
    </font>
    <font>
      <i/>
      <sz val="10"/>
      <color theme="1" tint="0.34998626667073579"/>
      <name val="Arial Narrow"/>
      <family val="2"/>
      <charset val="238"/>
    </font>
    <font>
      <sz val="10"/>
      <color theme="1" tint="0.499984740745262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7"/>
      <color rgb="FFFF0000"/>
      <name val="Arial Narrow"/>
      <family val="2"/>
      <charset val="238"/>
    </font>
    <font>
      <i/>
      <sz val="8"/>
      <color theme="1" tint="0.34998626667073579"/>
      <name val="Arial Narrow"/>
      <family val="2"/>
      <charset val="238"/>
    </font>
    <font>
      <b/>
      <i/>
      <sz val="8"/>
      <color theme="1" tint="0.34998626667073579"/>
      <name val="Arial Narrow"/>
      <family val="2"/>
      <charset val="238"/>
    </font>
    <font>
      <i/>
      <sz val="9"/>
      <color theme="0" tint="-0.499984740745262"/>
      <name val="Arial Narrow"/>
      <family val="2"/>
      <charset val="238"/>
    </font>
    <font>
      <b/>
      <sz val="10"/>
      <color theme="1" tint="0.34998626667073579"/>
      <name val="Arial Narrow"/>
      <family val="2"/>
      <charset val="238"/>
    </font>
    <font>
      <b/>
      <i/>
      <sz val="7"/>
      <color theme="0" tint="-0.499984740745262"/>
      <name val="Arial Narrow"/>
      <family val="2"/>
      <charset val="238"/>
    </font>
    <font>
      <b/>
      <sz val="10"/>
      <color rgb="FFFF0000"/>
      <name val="Arial"/>
      <family val="2"/>
      <charset val="238"/>
    </font>
    <font>
      <sz val="8"/>
      <color rgb="FF00B050"/>
      <name val="Arial Narrow"/>
      <family val="2"/>
      <charset val="238"/>
    </font>
    <font>
      <sz val="8"/>
      <color rgb="FFC00000"/>
      <name val="Arial Narrow"/>
      <family val="2"/>
      <charset val="238"/>
    </font>
    <font>
      <sz val="8"/>
      <color rgb="FF92D050"/>
      <name val="Arial Narrow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B4C2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AE2F3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A0BED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9E7E6"/>
        <bgColor indexed="64"/>
      </patternFill>
    </fill>
    <fill>
      <patternFill patternType="solid">
        <fgColor rgb="FFDAF4F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E1EAF3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E9E5E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9DCFF"/>
        <bgColor indexed="64"/>
      </patternFill>
    </fill>
    <fill>
      <patternFill patternType="solid">
        <fgColor rgb="FFEBE9DD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80CCD4"/>
        <bgColor indexed="64"/>
      </patternFill>
    </fill>
    <fill>
      <patternFill patternType="solid">
        <fgColor rgb="FFA6C4EA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A693BF"/>
        <bgColor indexed="64"/>
      </patternFill>
    </fill>
    <fill>
      <patternFill patternType="solid">
        <fgColor rgb="FFDAD2E4"/>
        <bgColor indexed="64"/>
      </patternFill>
    </fill>
    <fill>
      <patternFill patternType="solid">
        <fgColor rgb="FFC2B5D3"/>
        <bgColor indexed="64"/>
      </patternFill>
    </fill>
    <fill>
      <patternFill patternType="solid">
        <fgColor rgb="FFE0DAEA"/>
        <bgColor indexed="64"/>
      </patternFill>
    </fill>
    <fill>
      <patternFill patternType="solid">
        <fgColor theme="0" tint="-0.14999847407452621"/>
        <bgColor indexed="64"/>
      </patternFill>
    </fill>
  </fills>
  <borders count="10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rgb="FFFF0066"/>
      </left>
      <right style="medium">
        <color rgb="FFFF0066"/>
      </right>
      <top style="double">
        <color rgb="FFFF0066"/>
      </top>
      <bottom style="hair">
        <color rgb="FFFF0066"/>
      </bottom>
      <diagonal/>
    </border>
    <border>
      <left style="medium">
        <color rgb="FFFF0066"/>
      </left>
      <right style="medium">
        <color rgb="FFFF0066"/>
      </right>
      <top style="hair">
        <color rgb="FFFF0066"/>
      </top>
      <bottom style="hair">
        <color rgb="FFFF0066"/>
      </bottom>
      <diagonal/>
    </border>
    <border>
      <left style="medium">
        <color rgb="FFFF0066"/>
      </left>
      <right style="medium">
        <color rgb="FFFF0066"/>
      </right>
      <top style="hair">
        <color rgb="FFFF0066"/>
      </top>
      <bottom style="medium">
        <color rgb="FFFF0066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11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5" fontId="4" fillId="0" borderId="0" applyFont="0" applyFill="0" applyBorder="0" applyAlignment="0" applyProtection="0"/>
    <xf numFmtId="0" fontId="4" fillId="0" borderId="0">
      <alignment vertical="top"/>
    </xf>
    <xf numFmtId="0" fontId="4" fillId="0" borderId="0">
      <alignment vertical="top"/>
    </xf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14">
    <xf numFmtId="0" fontId="0" fillId="0" borderId="0" xfId="0" applyAlignment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42" fontId="6" fillId="0" borderId="0" xfId="0" applyNumberFormat="1" applyFont="1" applyFill="1" applyBorder="1" applyAlignment="1">
      <alignment horizontal="right" vertical="center"/>
    </xf>
    <xf numFmtId="164" fontId="15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3" fontId="18" fillId="0" borderId="0" xfId="0" applyNumberFormat="1" applyFont="1" applyFill="1" applyBorder="1" applyAlignment="1">
      <alignment vertical="center"/>
    </xf>
    <xf numFmtId="166" fontId="1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textRotation="90" wrapText="1"/>
    </xf>
    <xf numFmtId="0" fontId="26" fillId="3" borderId="5" xfId="0" applyFont="1" applyFill="1" applyBorder="1" applyAlignment="1">
      <alignment horizontal="center" vertical="center" textRotation="90" wrapText="1"/>
    </xf>
    <xf numFmtId="0" fontId="9" fillId="3" borderId="5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center" vertical="center" textRotation="90" wrapText="1"/>
    </xf>
    <xf numFmtId="0" fontId="9" fillId="3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/>
    </xf>
    <xf numFmtId="164" fontId="15" fillId="2" borderId="6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textRotation="90"/>
    </xf>
    <xf numFmtId="0" fontId="6" fillId="3" borderId="14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42" fontId="7" fillId="2" borderId="17" xfId="0" applyNumberFormat="1" applyFont="1" applyFill="1" applyBorder="1" applyAlignment="1">
      <alignment horizontal="right" vertical="center"/>
    </xf>
    <xf numFmtId="164" fontId="29" fillId="0" borderId="0" xfId="0" applyNumberFormat="1" applyFont="1" applyFill="1" applyBorder="1" applyAlignment="1">
      <alignment horizontal="right" vertical="center"/>
    </xf>
    <xf numFmtId="164" fontId="18" fillId="2" borderId="18" xfId="0" applyNumberFormat="1" applyFont="1" applyFill="1" applyBorder="1" applyAlignment="1">
      <alignment horizontal="center" vertical="center" wrapText="1"/>
    </xf>
    <xf numFmtId="164" fontId="18" fillId="2" borderId="19" xfId="0" applyNumberFormat="1" applyFont="1" applyFill="1" applyBorder="1" applyAlignment="1">
      <alignment horizontal="center" vertical="center" wrapText="1"/>
    </xf>
    <xf numFmtId="42" fontId="18" fillId="0" borderId="0" xfId="0" applyNumberFormat="1" applyFont="1" applyFill="1" applyBorder="1" applyAlignment="1">
      <alignment horizontal="right" vertical="center"/>
    </xf>
    <xf numFmtId="164" fontId="18" fillId="2" borderId="20" xfId="0" applyNumberFormat="1" applyFont="1" applyFill="1" applyBorder="1" applyAlignment="1">
      <alignment horizontal="center" vertical="center" wrapText="1"/>
    </xf>
    <xf numFmtId="164" fontId="29" fillId="2" borderId="14" xfId="0" applyNumberFormat="1" applyFont="1" applyFill="1" applyBorder="1" applyAlignment="1">
      <alignment horizontal="right" vertical="center"/>
    </xf>
    <xf numFmtId="165" fontId="30" fillId="2" borderId="14" xfId="0" applyNumberFormat="1" applyFont="1" applyFill="1" applyBorder="1" applyAlignment="1">
      <alignment horizontal="right" vertical="center"/>
    </xf>
    <xf numFmtId="0" fontId="19" fillId="0" borderId="2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left" vertical="center"/>
    </xf>
    <xf numFmtId="0" fontId="44" fillId="0" borderId="22" xfId="0" applyFont="1" applyFill="1" applyBorder="1" applyAlignment="1">
      <alignment horizontal="left" vertical="center"/>
    </xf>
    <xf numFmtId="0" fontId="45" fillId="0" borderId="2" xfId="0" applyFont="1" applyFill="1" applyBorder="1" applyAlignment="1">
      <alignment vertical="center"/>
    </xf>
    <xf numFmtId="0" fontId="45" fillId="0" borderId="23" xfId="0" applyFont="1" applyFill="1" applyBorder="1" applyAlignment="1">
      <alignment vertical="center"/>
    </xf>
    <xf numFmtId="0" fontId="23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3" fontId="15" fillId="0" borderId="0" xfId="0" applyNumberFormat="1" applyFont="1" applyFill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0" fontId="6" fillId="0" borderId="24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164" fontId="15" fillId="0" borderId="25" xfId="0" applyNumberFormat="1" applyFont="1" applyFill="1" applyBorder="1" applyAlignment="1">
      <alignment horizontal="right" vertical="center"/>
    </xf>
    <xf numFmtId="42" fontId="12" fillId="0" borderId="24" xfId="0" applyNumberFormat="1" applyFont="1" applyFill="1" applyBorder="1" applyAlignment="1">
      <alignment horizontal="right" vertical="center"/>
    </xf>
    <xf numFmtId="42" fontId="3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vertical="center" wrapText="1"/>
    </xf>
    <xf numFmtId="0" fontId="46" fillId="0" borderId="2" xfId="0" applyFont="1" applyFill="1" applyBorder="1" applyAlignment="1">
      <alignment vertical="center"/>
    </xf>
    <xf numFmtId="0" fontId="46" fillId="0" borderId="23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24" xfId="0" applyFont="1" applyFill="1" applyBorder="1" applyAlignment="1">
      <alignment vertical="center"/>
    </xf>
    <xf numFmtId="49" fontId="10" fillId="0" borderId="0" xfId="0" applyNumberFormat="1" applyFont="1" applyFill="1" applyAlignment="1">
      <alignment vertical="center"/>
    </xf>
    <xf numFmtId="0" fontId="9" fillId="0" borderId="24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9" fillId="0" borderId="26" xfId="0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0" fontId="44" fillId="0" borderId="28" xfId="0" applyFont="1" applyFill="1" applyBorder="1" applyAlignment="1">
      <alignment horizontal="left" vertical="center"/>
    </xf>
    <xf numFmtId="0" fontId="15" fillId="0" borderId="26" xfId="0" applyFont="1" applyFill="1" applyBorder="1" applyAlignment="1">
      <alignment vertical="center"/>
    </xf>
    <xf numFmtId="164" fontId="15" fillId="0" borderId="29" xfId="0" applyNumberFormat="1" applyFont="1" applyFill="1" applyBorder="1" applyAlignment="1">
      <alignment horizontal="right" vertical="center"/>
    </xf>
    <xf numFmtId="164" fontId="29" fillId="0" borderId="26" xfId="0" applyNumberFormat="1" applyFont="1" applyFill="1" applyBorder="1" applyAlignment="1">
      <alignment horizontal="right" vertical="center"/>
    </xf>
    <xf numFmtId="42" fontId="12" fillId="0" borderId="30" xfId="0" applyNumberFormat="1" applyFont="1" applyFill="1" applyBorder="1" applyAlignment="1">
      <alignment horizontal="right" vertical="center"/>
    </xf>
    <xf numFmtId="42" fontId="30" fillId="0" borderId="31" xfId="0" applyNumberFormat="1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left" vertical="center"/>
    </xf>
    <xf numFmtId="0" fontId="48" fillId="0" borderId="2" xfId="0" applyFont="1" applyFill="1" applyBorder="1" applyAlignment="1">
      <alignment horizontal="left" vertical="center"/>
    </xf>
    <xf numFmtId="0" fontId="32" fillId="4" borderId="5" xfId="0" applyFont="1" applyFill="1" applyBorder="1" applyAlignment="1">
      <alignment horizontal="left" vertical="center"/>
    </xf>
    <xf numFmtId="0" fontId="33" fillId="0" borderId="0" xfId="4" applyFont="1" applyFill="1" applyAlignment="1" applyProtection="1">
      <alignment vertical="center"/>
    </xf>
    <xf numFmtId="0" fontId="33" fillId="0" borderId="0" xfId="4" applyFont="1" applyFill="1" applyBorder="1" applyAlignment="1" applyProtection="1">
      <alignment vertical="center"/>
    </xf>
    <xf numFmtId="0" fontId="33" fillId="0" borderId="0" xfId="4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3" fillId="0" borderId="26" xfId="4" applyFont="1" applyFill="1" applyBorder="1" applyAlignment="1" applyProtection="1">
      <alignment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34" fillId="0" borderId="0" xfId="0" applyFont="1" applyFill="1" applyBorder="1" applyAlignment="1">
      <alignment vertical="center"/>
    </xf>
    <xf numFmtId="0" fontId="23" fillId="0" borderId="0" xfId="4" applyFont="1" applyFill="1" applyBorder="1" applyAlignment="1" applyProtection="1">
      <alignment horizontal="left" vertical="center"/>
    </xf>
    <xf numFmtId="42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0" fontId="49" fillId="0" borderId="0" xfId="0" applyFont="1" applyFill="1" applyAlignment="1">
      <alignment horizontal="right" vertical="center"/>
    </xf>
    <xf numFmtId="2" fontId="9" fillId="0" borderId="0" xfId="0" applyNumberFormat="1" applyFont="1" applyAlignment="1"/>
    <xf numFmtId="3" fontId="18" fillId="2" borderId="33" xfId="0" applyNumberFormat="1" applyFont="1" applyFill="1" applyBorder="1" applyAlignment="1">
      <alignment vertical="center" wrapText="1"/>
    </xf>
    <xf numFmtId="2" fontId="9" fillId="5" borderId="33" xfId="0" applyNumberFormat="1" applyFont="1" applyFill="1" applyBorder="1" applyAlignment="1"/>
    <xf numFmtId="2" fontId="9" fillId="5" borderId="34" xfId="0" applyNumberFormat="1" applyFont="1" applyFill="1" applyBorder="1" applyAlignment="1"/>
    <xf numFmtId="3" fontId="51" fillId="0" borderId="0" xfId="0" applyNumberFormat="1" applyFont="1" applyFill="1" applyBorder="1" applyAlignment="1">
      <alignment vertical="center"/>
    </xf>
    <xf numFmtId="3" fontId="52" fillId="0" borderId="0" xfId="0" applyNumberFormat="1" applyFont="1" applyFill="1" applyBorder="1" applyAlignment="1">
      <alignment vertical="center"/>
    </xf>
    <xf numFmtId="166" fontId="15" fillId="6" borderId="3" xfId="0" applyNumberFormat="1" applyFont="1" applyFill="1" applyBorder="1" applyAlignment="1">
      <alignment horizontal="center" vertical="center"/>
    </xf>
    <xf numFmtId="166" fontId="12" fillId="6" borderId="3" xfId="0" applyNumberFormat="1" applyFont="1" applyFill="1" applyBorder="1" applyAlignment="1">
      <alignment horizontal="center" vertical="center"/>
    </xf>
    <xf numFmtId="3" fontId="38" fillId="2" borderId="5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36" xfId="0" applyNumberFormat="1" applyFont="1" applyFill="1" applyBorder="1" applyAlignment="1">
      <alignment vertical="center"/>
    </xf>
    <xf numFmtId="166" fontId="6" fillId="6" borderId="18" xfId="0" applyNumberFormat="1" applyFont="1" applyFill="1" applyBorder="1" applyAlignment="1">
      <alignment horizontal="center" vertical="center"/>
    </xf>
    <xf numFmtId="166" fontId="7" fillId="6" borderId="18" xfId="0" applyNumberFormat="1" applyFont="1" applyFill="1" applyBorder="1" applyAlignment="1">
      <alignment horizontal="center" vertical="center"/>
    </xf>
    <xf numFmtId="164" fontId="29" fillId="7" borderId="0" xfId="0" applyNumberFormat="1" applyFont="1" applyFill="1" applyBorder="1" applyAlignment="1">
      <alignment horizontal="right" vertical="center"/>
    </xf>
    <xf numFmtId="164" fontId="53" fillId="2" borderId="15" xfId="0" applyNumberFormat="1" applyFont="1" applyFill="1" applyBorder="1" applyAlignment="1">
      <alignment horizontal="right" vertical="center"/>
    </xf>
    <xf numFmtId="164" fontId="53" fillId="0" borderId="0" xfId="0" applyNumberFormat="1" applyFont="1" applyFill="1" applyBorder="1" applyAlignment="1">
      <alignment horizontal="right" vertical="center"/>
    </xf>
    <xf numFmtId="164" fontId="53" fillId="0" borderId="38" xfId="0" applyNumberFormat="1" applyFont="1" applyFill="1" applyBorder="1" applyAlignment="1">
      <alignment horizontal="right" vertical="center"/>
    </xf>
    <xf numFmtId="164" fontId="53" fillId="2" borderId="16" xfId="0" applyNumberFormat="1" applyFont="1" applyFill="1" applyBorder="1" applyAlignment="1">
      <alignment horizontal="right" vertical="center"/>
    </xf>
    <xf numFmtId="164" fontId="53" fillId="0" borderId="26" xfId="0" applyNumberFormat="1" applyFont="1" applyFill="1" applyBorder="1" applyAlignment="1">
      <alignment horizontal="right" vertical="center"/>
    </xf>
    <xf numFmtId="42" fontId="7" fillId="0" borderId="24" xfId="0" applyNumberFormat="1" applyFont="1" applyFill="1" applyBorder="1" applyAlignment="1">
      <alignment horizontal="right" vertical="center"/>
    </xf>
    <xf numFmtId="164" fontId="6" fillId="2" borderId="6" xfId="0" applyNumberFormat="1" applyFont="1" applyFill="1" applyBorder="1" applyAlignment="1">
      <alignment horizontal="right" vertical="center"/>
    </xf>
    <xf numFmtId="0" fontId="33" fillId="0" borderId="0" xfId="4" applyFont="1" applyFill="1" applyBorder="1" applyAlignment="1" applyProtection="1">
      <alignment horizontal="left" vertical="center"/>
    </xf>
    <xf numFmtId="3" fontId="40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49" fillId="0" borderId="0" xfId="0" applyFont="1" applyFill="1" applyAlignment="1">
      <alignment horizontal="center" vertical="center"/>
    </xf>
    <xf numFmtId="3" fontId="51" fillId="4" borderId="3" xfId="0" applyNumberFormat="1" applyFont="1" applyFill="1" applyBorder="1" applyAlignment="1">
      <alignment vertical="center"/>
    </xf>
    <xf numFmtId="3" fontId="52" fillId="4" borderId="3" xfId="0" applyNumberFormat="1" applyFont="1" applyFill="1" applyBorder="1" applyAlignment="1">
      <alignment vertical="center"/>
    </xf>
    <xf numFmtId="166" fontId="8" fillId="10" borderId="3" xfId="0" applyNumberFormat="1" applyFont="1" applyFill="1" applyBorder="1" applyAlignment="1">
      <alignment vertical="center" wrapText="1"/>
    </xf>
    <xf numFmtId="166" fontId="37" fillId="10" borderId="6" xfId="0" applyNumberFormat="1" applyFont="1" applyFill="1" applyBorder="1" applyAlignment="1">
      <alignment horizontal="center" vertical="center" wrapText="1"/>
    </xf>
    <xf numFmtId="3" fontId="18" fillId="11" borderId="3" xfId="0" applyNumberFormat="1" applyFont="1" applyFill="1" applyBorder="1" applyAlignment="1">
      <alignment vertical="center" wrapText="1"/>
    </xf>
    <xf numFmtId="3" fontId="38" fillId="11" borderId="6" xfId="0" applyNumberFormat="1" applyFont="1" applyFill="1" applyBorder="1" applyAlignment="1">
      <alignment horizontal="center" vertical="center" wrapText="1"/>
    </xf>
    <xf numFmtId="1" fontId="8" fillId="8" borderId="45" xfId="0" applyNumberFormat="1" applyFont="1" applyFill="1" applyBorder="1" applyAlignment="1">
      <alignment horizontal="center" vertical="center" wrapText="1"/>
    </xf>
    <xf numFmtId="1" fontId="8" fillId="8" borderId="46" xfId="0" applyNumberFormat="1" applyFont="1" applyFill="1" applyBorder="1" applyAlignment="1">
      <alignment horizontal="center" vertical="center" wrapText="1"/>
    </xf>
    <xf numFmtId="9" fontId="8" fillId="12" borderId="47" xfId="0" applyNumberFormat="1" applyFont="1" applyFill="1" applyBorder="1" applyAlignment="1">
      <alignment vertical="center"/>
    </xf>
    <xf numFmtId="1" fontId="15" fillId="13" borderId="45" xfId="0" applyNumberFormat="1" applyFont="1" applyFill="1" applyBorder="1" applyAlignment="1">
      <alignment horizontal="center" vertical="center"/>
    </xf>
    <xf numFmtId="1" fontId="15" fillId="13" borderId="48" xfId="0" applyNumberFormat="1" applyFont="1" applyFill="1" applyBorder="1" applyAlignment="1">
      <alignment horizontal="center" vertical="center"/>
    </xf>
    <xf numFmtId="1" fontId="15" fillId="0" borderId="49" xfId="0" applyNumberFormat="1" applyFont="1" applyFill="1" applyBorder="1" applyAlignment="1">
      <alignment horizontal="center" vertical="center" wrapText="1"/>
    </xf>
    <xf numFmtId="166" fontId="15" fillId="0" borderId="50" xfId="0" applyNumberFormat="1" applyFont="1" applyFill="1" applyBorder="1" applyAlignment="1">
      <alignment horizontal="center" vertical="center" wrapText="1"/>
    </xf>
    <xf numFmtId="1" fontId="15" fillId="13" borderId="51" xfId="0" applyNumberFormat="1" applyFont="1" applyFill="1" applyBorder="1" applyAlignment="1">
      <alignment horizontal="center" vertical="center"/>
    </xf>
    <xf numFmtId="166" fontId="8" fillId="12" borderId="52" xfId="0" applyNumberFormat="1" applyFont="1" applyFill="1" applyBorder="1" applyAlignment="1">
      <alignment horizontal="center" vertical="center" wrapText="1"/>
    </xf>
    <xf numFmtId="0" fontId="8" fillId="14" borderId="53" xfId="0" applyFont="1" applyFill="1" applyBorder="1" applyAlignment="1">
      <alignment vertical="center"/>
    </xf>
    <xf numFmtId="168" fontId="8" fillId="8" borderId="47" xfId="0" applyNumberFormat="1" applyFont="1" applyFill="1" applyBorder="1" applyAlignment="1">
      <alignment vertical="center"/>
    </xf>
    <xf numFmtId="3" fontId="5" fillId="0" borderId="26" xfId="0" applyNumberFormat="1" applyFont="1" applyFill="1" applyBorder="1" applyAlignment="1">
      <alignment vertical="center"/>
    </xf>
    <xf numFmtId="49" fontId="6" fillId="2" borderId="54" xfId="0" applyNumberFormat="1" applyFont="1" applyFill="1" applyBorder="1" applyAlignment="1">
      <alignment horizontal="center" vertical="center"/>
    </xf>
    <xf numFmtId="49" fontId="6" fillId="2" borderId="55" xfId="0" applyNumberFormat="1" applyFont="1" applyFill="1" applyBorder="1" applyAlignment="1">
      <alignment horizontal="center" vertical="center"/>
    </xf>
    <xf numFmtId="164" fontId="6" fillId="2" borderId="17" xfId="0" applyNumberFormat="1" applyFont="1" applyFill="1" applyBorder="1" applyAlignment="1">
      <alignment horizontal="right" vertical="center"/>
    </xf>
    <xf numFmtId="164" fontId="15" fillId="0" borderId="24" xfId="0" applyNumberFormat="1" applyFont="1" applyFill="1" applyBorder="1" applyAlignment="1">
      <alignment horizontal="right" vertical="center"/>
    </xf>
    <xf numFmtId="164" fontId="53" fillId="0" borderId="56" xfId="0" applyNumberFormat="1" applyFont="1" applyFill="1" applyBorder="1" applyAlignment="1">
      <alignment horizontal="right" vertical="center"/>
    </xf>
    <xf numFmtId="164" fontId="15" fillId="7" borderId="24" xfId="0" applyNumberFormat="1" applyFont="1" applyFill="1" applyBorder="1" applyAlignment="1">
      <alignment horizontal="right" vertical="center"/>
    </xf>
    <xf numFmtId="164" fontId="53" fillId="7" borderId="56" xfId="0" applyNumberFormat="1" applyFont="1" applyFill="1" applyBorder="1" applyAlignment="1">
      <alignment horizontal="right" vertical="center"/>
    </xf>
    <xf numFmtId="0" fontId="16" fillId="2" borderId="24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3" fontId="8" fillId="15" borderId="57" xfId="0" applyNumberFormat="1" applyFont="1" applyFill="1" applyBorder="1" applyAlignment="1">
      <alignment vertical="center" wrapText="1"/>
    </xf>
    <xf numFmtId="3" fontId="8" fillId="15" borderId="58" xfId="0" applyNumberFormat="1" applyFont="1" applyFill="1" applyBorder="1" applyAlignment="1">
      <alignment horizontal="center" vertical="center" wrapText="1"/>
    </xf>
    <xf numFmtId="0" fontId="26" fillId="2" borderId="52" xfId="0" applyFont="1" applyFill="1" applyBorder="1" applyAlignment="1">
      <alignment horizontal="center" vertical="center" wrapText="1"/>
    </xf>
    <xf numFmtId="10" fontId="41" fillId="2" borderId="53" xfId="0" applyNumberFormat="1" applyFont="1" applyFill="1" applyBorder="1" applyAlignment="1">
      <alignment horizontal="right" vertical="center" wrapText="1"/>
    </xf>
    <xf numFmtId="168" fontId="26" fillId="0" borderId="0" xfId="0" applyNumberFormat="1" applyFont="1" applyFill="1" applyBorder="1" applyAlignment="1">
      <alignment horizontal="right" vertical="center"/>
    </xf>
    <xf numFmtId="168" fontId="26" fillId="0" borderId="26" xfId="0" applyNumberFormat="1" applyFont="1" applyFill="1" applyBorder="1" applyAlignment="1">
      <alignment horizontal="right" vertical="center"/>
    </xf>
    <xf numFmtId="164" fontId="26" fillId="0" borderId="0" xfId="0" applyNumberFormat="1" applyFont="1" applyFill="1" applyBorder="1" applyAlignment="1">
      <alignment horizontal="right" vertical="center"/>
    </xf>
    <xf numFmtId="42" fontId="26" fillId="0" borderId="0" xfId="0" applyNumberFormat="1" applyFont="1" applyFill="1" applyBorder="1" applyAlignment="1">
      <alignment horizontal="right" vertical="center"/>
    </xf>
    <xf numFmtId="10" fontId="34" fillId="2" borderId="17" xfId="0" applyNumberFormat="1" applyFont="1" applyFill="1" applyBorder="1" applyAlignment="1">
      <alignment horizontal="right" vertical="center" wrapText="1"/>
    </xf>
    <xf numFmtId="10" fontId="5" fillId="0" borderId="24" xfId="0" applyNumberFormat="1" applyFont="1" applyFill="1" applyBorder="1" applyAlignment="1">
      <alignment horizontal="right" vertical="center"/>
    </xf>
    <xf numFmtId="10" fontId="5" fillId="0" borderId="44" xfId="0" applyNumberFormat="1" applyFont="1" applyFill="1" applyBorder="1" applyAlignment="1">
      <alignment horizontal="right" vertical="center"/>
    </xf>
    <xf numFmtId="0" fontId="26" fillId="2" borderId="4" xfId="0" applyFont="1" applyFill="1" applyBorder="1" applyAlignment="1">
      <alignment horizontal="center" vertical="center" wrapText="1"/>
    </xf>
    <xf numFmtId="3" fontId="10" fillId="12" borderId="92" xfId="0" applyNumberFormat="1" applyFont="1" applyFill="1" applyBorder="1" applyAlignment="1">
      <alignment vertical="center"/>
    </xf>
    <xf numFmtId="3" fontId="10" fillId="12" borderId="93" xfId="0" applyNumberFormat="1" applyFont="1" applyFill="1" applyBorder="1" applyAlignment="1">
      <alignment vertical="center"/>
    </xf>
    <xf numFmtId="3" fontId="10" fillId="12" borderId="94" xfId="0" applyNumberFormat="1" applyFont="1" applyFill="1" applyBorder="1" applyAlignment="1">
      <alignment vertical="center"/>
    </xf>
    <xf numFmtId="164" fontId="40" fillId="2" borderId="19" xfId="0" applyNumberFormat="1" applyFont="1" applyFill="1" applyBorder="1" applyAlignment="1">
      <alignment horizontal="center" vertical="center" wrapText="1"/>
    </xf>
    <xf numFmtId="165" fontId="55" fillId="2" borderId="15" xfId="0" applyNumberFormat="1" applyFont="1" applyFill="1" applyBorder="1" applyAlignment="1">
      <alignment horizontal="right" vertical="center"/>
    </xf>
    <xf numFmtId="42" fontId="55" fillId="0" borderId="59" xfId="0" applyNumberFormat="1" applyFont="1" applyFill="1" applyBorder="1" applyAlignment="1">
      <alignment horizontal="right" vertical="center"/>
    </xf>
    <xf numFmtId="42" fontId="55" fillId="0" borderId="60" xfId="0" applyNumberFormat="1" applyFont="1" applyFill="1" applyBorder="1" applyAlignment="1">
      <alignment horizontal="right" vertical="center"/>
    </xf>
    <xf numFmtId="164" fontId="40" fillId="0" borderId="0" xfId="0" applyNumberFormat="1" applyFont="1" applyFill="1" applyBorder="1" applyAlignment="1">
      <alignment horizontal="right" vertical="center"/>
    </xf>
    <xf numFmtId="42" fontId="40" fillId="0" borderId="0" xfId="0" applyNumberFormat="1" applyFont="1" applyFill="1" applyBorder="1" applyAlignment="1">
      <alignment horizontal="right" vertical="center"/>
    </xf>
    <xf numFmtId="166" fontId="6" fillId="17" borderId="3" xfId="0" applyNumberFormat="1" applyFont="1" applyFill="1" applyBorder="1" applyAlignment="1">
      <alignment horizontal="center" vertical="center" wrapText="1"/>
    </xf>
    <xf numFmtId="166" fontId="6" fillId="17" borderId="20" xfId="0" applyNumberFormat="1" applyFont="1" applyFill="1" applyBorder="1" applyAlignment="1">
      <alignment horizontal="center" vertical="center" wrapText="1"/>
    </xf>
    <xf numFmtId="166" fontId="6" fillId="17" borderId="18" xfId="0" applyNumberFormat="1" applyFont="1" applyFill="1" applyBorder="1" applyAlignment="1">
      <alignment horizontal="center" vertical="center" wrapText="1"/>
    </xf>
    <xf numFmtId="167" fontId="36" fillId="18" borderId="35" xfId="0" applyNumberFormat="1" applyFont="1" applyFill="1" applyBorder="1" applyAlignment="1">
      <alignment vertical="center"/>
    </xf>
    <xf numFmtId="167" fontId="36" fillId="18" borderId="62" xfId="0" applyNumberFormat="1" applyFont="1" applyFill="1" applyBorder="1" applyAlignment="1" applyProtection="1">
      <alignment vertical="center"/>
      <protection locked="0"/>
    </xf>
    <xf numFmtId="167" fontId="36" fillId="18" borderId="37" xfId="0" applyNumberFormat="1" applyFont="1" applyFill="1" applyBorder="1" applyAlignment="1">
      <alignment vertical="center"/>
    </xf>
    <xf numFmtId="167" fontId="36" fillId="18" borderId="3" xfId="0" applyNumberFormat="1" applyFont="1" applyFill="1" applyBorder="1" applyAlignment="1">
      <alignment vertical="center"/>
    </xf>
    <xf numFmtId="167" fontId="36" fillId="18" borderId="20" xfId="0" applyNumberFormat="1" applyFont="1" applyFill="1" applyBorder="1" applyAlignment="1" applyProtection="1">
      <alignment vertical="center"/>
      <protection locked="0"/>
    </xf>
    <xf numFmtId="167" fontId="36" fillId="18" borderId="18" xfId="0" applyNumberFormat="1" applyFont="1" applyFill="1" applyBorder="1" applyAlignment="1">
      <alignment vertical="center"/>
    </xf>
    <xf numFmtId="167" fontId="36" fillId="18" borderId="42" xfId="0" applyNumberFormat="1" applyFont="1" applyFill="1" applyBorder="1" applyAlignment="1">
      <alignment vertical="center"/>
    </xf>
    <xf numFmtId="167" fontId="36" fillId="18" borderId="63" xfId="0" applyNumberFormat="1" applyFont="1" applyFill="1" applyBorder="1" applyAlignment="1" applyProtection="1">
      <alignment vertical="center"/>
      <protection locked="0"/>
    </xf>
    <xf numFmtId="167" fontId="36" fillId="18" borderId="43" xfId="0" applyNumberFormat="1" applyFont="1" applyFill="1" applyBorder="1" applyAlignment="1">
      <alignment vertical="center"/>
    </xf>
    <xf numFmtId="3" fontId="40" fillId="11" borderId="18" xfId="0" applyNumberFormat="1" applyFont="1" applyFill="1" applyBorder="1" applyAlignment="1">
      <alignment vertical="center" wrapText="1"/>
    </xf>
    <xf numFmtId="3" fontId="38" fillId="11" borderId="14" xfId="0" applyNumberFormat="1" applyFont="1" applyFill="1" applyBorder="1" applyAlignment="1">
      <alignment horizontal="center" vertical="center" wrapText="1"/>
    </xf>
    <xf numFmtId="4" fontId="38" fillId="11" borderId="16" xfId="0" applyNumberFormat="1" applyFont="1" applyFill="1" applyBorder="1" applyAlignment="1">
      <alignment horizontal="center" vertical="center" wrapText="1"/>
    </xf>
    <xf numFmtId="1" fontId="51" fillId="4" borderId="37" xfId="0" applyNumberFormat="1" applyFont="1" applyFill="1" applyBorder="1" applyAlignment="1"/>
    <xf numFmtId="1" fontId="51" fillId="4" borderId="18" xfId="0" applyNumberFormat="1" applyFont="1" applyFill="1" applyBorder="1" applyAlignment="1"/>
    <xf numFmtId="1" fontId="51" fillId="4" borderId="43" xfId="0" applyNumberFormat="1" applyFont="1" applyFill="1" applyBorder="1" applyAlignment="1"/>
    <xf numFmtId="167" fontId="51" fillId="4" borderId="62" xfId="0" applyNumberFormat="1" applyFont="1" applyFill="1" applyBorder="1" applyAlignment="1"/>
    <xf numFmtId="167" fontId="51" fillId="4" borderId="20" xfId="0" applyNumberFormat="1" applyFont="1" applyFill="1" applyBorder="1" applyAlignment="1"/>
    <xf numFmtId="167" fontId="51" fillId="4" borderId="63" xfId="0" applyNumberFormat="1" applyFont="1" applyFill="1" applyBorder="1" applyAlignment="1"/>
    <xf numFmtId="3" fontId="18" fillId="11" borderId="20" xfId="0" applyNumberFormat="1" applyFont="1" applyFill="1" applyBorder="1" applyAlignment="1">
      <alignment vertical="center" wrapText="1"/>
    </xf>
    <xf numFmtId="169" fontId="38" fillId="11" borderId="14" xfId="0" applyNumberFormat="1" applyFont="1" applyFill="1" applyBorder="1" applyAlignment="1">
      <alignment horizontal="center" vertical="center" wrapText="1"/>
    </xf>
    <xf numFmtId="0" fontId="51" fillId="4" borderId="62" xfId="0" applyFont="1" applyFill="1" applyBorder="1" applyAlignment="1"/>
    <xf numFmtId="0" fontId="51" fillId="4" borderId="20" xfId="0" applyFont="1" applyFill="1" applyBorder="1" applyAlignment="1"/>
    <xf numFmtId="0" fontId="51" fillId="4" borderId="63" xfId="0" applyFont="1" applyFill="1" applyBorder="1" applyAlignment="1"/>
    <xf numFmtId="9" fontId="15" fillId="13" borderId="35" xfId="0" applyNumberFormat="1" applyFont="1" applyFill="1" applyBorder="1" applyAlignment="1">
      <alignment vertical="center"/>
    </xf>
    <xf numFmtId="9" fontId="15" fillId="13" borderId="3" xfId="0" applyNumberFormat="1" applyFont="1" applyFill="1" applyBorder="1" applyAlignment="1">
      <alignment vertical="center"/>
    </xf>
    <xf numFmtId="9" fontId="15" fillId="13" borderId="42" xfId="0" applyNumberFormat="1" applyFont="1" applyFill="1" applyBorder="1" applyAlignment="1">
      <alignment vertical="center"/>
    </xf>
    <xf numFmtId="9" fontId="15" fillId="20" borderId="67" xfId="0" applyNumberFormat="1" applyFont="1" applyFill="1" applyBorder="1" applyAlignment="1">
      <alignment vertical="center"/>
    </xf>
    <xf numFmtId="9" fontId="15" fillId="20" borderId="68" xfId="0" applyNumberFormat="1" applyFont="1" applyFill="1" applyBorder="1" applyAlignment="1">
      <alignment vertical="center"/>
    </xf>
    <xf numFmtId="0" fontId="6" fillId="20" borderId="51" xfId="0" applyFont="1" applyFill="1" applyBorder="1" applyAlignment="1">
      <alignment vertical="center"/>
    </xf>
    <xf numFmtId="9" fontId="15" fillId="20" borderId="39" xfId="0" applyNumberFormat="1" applyFont="1" applyFill="1" applyBorder="1" applyAlignment="1">
      <alignment vertical="center"/>
    </xf>
    <xf numFmtId="0" fontId="6" fillId="20" borderId="45" xfId="0" applyFont="1" applyFill="1" applyBorder="1" applyAlignment="1">
      <alignment vertical="center"/>
    </xf>
    <xf numFmtId="0" fontId="6" fillId="20" borderId="48" xfId="0" applyFont="1" applyFill="1" applyBorder="1" applyAlignment="1">
      <alignment vertical="center"/>
    </xf>
    <xf numFmtId="2" fontId="9" fillId="21" borderId="33" xfId="0" applyNumberFormat="1" applyFont="1" applyFill="1" applyBorder="1" applyAlignment="1"/>
    <xf numFmtId="1" fontId="51" fillId="22" borderId="69" xfId="0" applyNumberFormat="1" applyFont="1" applyFill="1" applyBorder="1" applyAlignment="1"/>
    <xf numFmtId="1" fontId="51" fillId="22" borderId="33" xfId="0" applyNumberFormat="1" applyFont="1" applyFill="1" applyBorder="1" applyAlignment="1"/>
    <xf numFmtId="1" fontId="51" fillId="22" borderId="34" xfId="0" applyNumberFormat="1" applyFont="1" applyFill="1" applyBorder="1" applyAlignment="1"/>
    <xf numFmtId="2" fontId="6" fillId="0" borderId="0" xfId="0" applyNumberFormat="1" applyFont="1" applyAlignment="1"/>
    <xf numFmtId="167" fontId="56" fillId="0" borderId="0" xfId="0" applyNumberFormat="1" applyFont="1" applyFill="1" applyAlignment="1"/>
    <xf numFmtId="167" fontId="56" fillId="0" borderId="0" xfId="0" applyNumberFormat="1" applyFont="1" applyAlignment="1"/>
    <xf numFmtId="0" fontId="26" fillId="0" borderId="0" xfId="0" applyFont="1" applyFill="1" applyBorder="1" applyAlignment="1">
      <alignment horizontal="center" vertical="center"/>
    </xf>
    <xf numFmtId="168" fontId="26" fillId="16" borderId="46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vertical="center"/>
    </xf>
    <xf numFmtId="3" fontId="50" fillId="0" borderId="0" xfId="0" applyNumberFormat="1" applyFont="1" applyFill="1" applyBorder="1" applyAlignment="1">
      <alignment vertical="center"/>
    </xf>
    <xf numFmtId="0" fontId="49" fillId="0" borderId="0" xfId="0" applyFont="1" applyFill="1" applyBorder="1" applyAlignment="1">
      <alignment horizontal="right" vertical="center"/>
    </xf>
    <xf numFmtId="166" fontId="32" fillId="10" borderId="16" xfId="0" applyNumberFormat="1" applyFont="1" applyFill="1" applyBorder="1" applyAlignment="1">
      <alignment horizontal="center" vertical="center" wrapText="1"/>
    </xf>
    <xf numFmtId="166" fontId="32" fillId="10" borderId="18" xfId="0" applyNumberFormat="1" applyFont="1" applyFill="1" applyBorder="1" applyAlignment="1">
      <alignment vertical="center" wrapText="1"/>
    </xf>
    <xf numFmtId="10" fontId="26" fillId="0" borderId="24" xfId="0" applyNumberFormat="1" applyFont="1" applyFill="1" applyBorder="1" applyAlignment="1">
      <alignment horizontal="right" vertical="center"/>
    </xf>
    <xf numFmtId="1" fontId="26" fillId="26" borderId="51" xfId="0" applyNumberFormat="1" applyFont="1" applyFill="1" applyBorder="1" applyAlignment="1">
      <alignment horizontal="center"/>
    </xf>
    <xf numFmtId="0" fontId="6" fillId="26" borderId="39" xfId="0" applyFont="1" applyFill="1" applyBorder="1" applyAlignment="1">
      <alignment horizontal="center" vertical="center"/>
    </xf>
    <xf numFmtId="1" fontId="26" fillId="26" borderId="45" xfId="0" applyNumberFormat="1" applyFont="1" applyFill="1" applyBorder="1" applyAlignment="1">
      <alignment horizontal="center"/>
    </xf>
    <xf numFmtId="1" fontId="26" fillId="26" borderId="48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0" fontId="2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58" fillId="26" borderId="39" xfId="0" applyFont="1" applyFill="1" applyBorder="1" applyAlignment="1">
      <alignment horizontal="center" vertical="center"/>
    </xf>
    <xf numFmtId="1" fontId="26" fillId="25" borderId="51" xfId="0" applyNumberFormat="1" applyFont="1" applyFill="1" applyBorder="1" applyAlignment="1">
      <alignment horizontal="center"/>
    </xf>
    <xf numFmtId="1" fontId="26" fillId="25" borderId="45" xfId="0" applyNumberFormat="1" applyFont="1" applyFill="1" applyBorder="1" applyAlignment="1">
      <alignment horizontal="center"/>
    </xf>
    <xf numFmtId="1" fontId="26" fillId="9" borderId="45" xfId="0" applyNumberFormat="1" applyFont="1" applyFill="1" applyBorder="1" applyAlignment="1">
      <alignment horizontal="center"/>
    </xf>
    <xf numFmtId="1" fontId="26" fillId="25" borderId="48" xfId="0" applyNumberFormat="1" applyFont="1" applyFill="1" applyBorder="1" applyAlignment="1">
      <alignment horizontal="center"/>
    </xf>
    <xf numFmtId="0" fontId="59" fillId="25" borderId="20" xfId="0" applyFont="1" applyFill="1" applyBorder="1" applyAlignment="1">
      <alignment horizontal="center"/>
    </xf>
    <xf numFmtId="0" fontId="58" fillId="25" borderId="20" xfId="0" applyFont="1" applyFill="1" applyBorder="1" applyAlignment="1">
      <alignment horizontal="center"/>
    </xf>
    <xf numFmtId="0" fontId="57" fillId="25" borderId="39" xfId="0" applyFont="1" applyFill="1" applyBorder="1" applyAlignment="1">
      <alignment horizontal="center"/>
    </xf>
    <xf numFmtId="0" fontId="49" fillId="25" borderId="39" xfId="0" applyFont="1" applyFill="1" applyBorder="1" applyAlignment="1">
      <alignment horizontal="center"/>
    </xf>
    <xf numFmtId="0" fontId="57" fillId="24" borderId="71" xfId="0" applyFont="1" applyFill="1" applyBorder="1" applyAlignment="1">
      <alignment horizontal="center"/>
    </xf>
    <xf numFmtId="0" fontId="49" fillId="32" borderId="71" xfId="0" applyFont="1" applyFill="1" applyBorder="1" applyAlignment="1">
      <alignment horizontal="center"/>
    </xf>
    <xf numFmtId="10" fontId="26" fillId="19" borderId="66" xfId="0" applyNumberFormat="1" applyFont="1" applyFill="1" applyBorder="1" applyAlignment="1">
      <alignment horizontal="center" vertical="center"/>
    </xf>
    <xf numFmtId="9" fontId="26" fillId="11" borderId="47" xfId="0" applyNumberFormat="1" applyFont="1" applyFill="1" applyBorder="1" applyAlignment="1">
      <alignment horizontal="center" vertical="center"/>
    </xf>
    <xf numFmtId="10" fontId="26" fillId="11" borderId="14" xfId="0" applyNumberFormat="1" applyFont="1" applyFill="1" applyBorder="1" applyAlignment="1">
      <alignment vertical="center"/>
    </xf>
    <xf numFmtId="168" fontId="26" fillId="11" borderId="46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 wrapText="1"/>
    </xf>
    <xf numFmtId="0" fontId="57" fillId="24" borderId="70" xfId="0" applyFont="1" applyFill="1" applyBorder="1" applyAlignment="1">
      <alignment horizontal="center"/>
    </xf>
    <xf numFmtId="0" fontId="57" fillId="25" borderId="68" xfId="0" applyFont="1" applyFill="1" applyBorder="1" applyAlignment="1">
      <alignment horizontal="center"/>
    </xf>
    <xf numFmtId="0" fontId="57" fillId="25" borderId="67" xfId="0" applyFont="1" applyFill="1" applyBorder="1" applyAlignment="1">
      <alignment horizontal="center"/>
    </xf>
    <xf numFmtId="0" fontId="6" fillId="26" borderId="67" xfId="0" applyFont="1" applyFill="1" applyBorder="1" applyAlignment="1">
      <alignment horizontal="center" vertical="center"/>
    </xf>
    <xf numFmtId="0" fontId="43" fillId="0" borderId="27" xfId="0" applyFont="1" applyFill="1" applyBorder="1" applyAlignment="1">
      <alignment horizontal="left" vertical="center"/>
    </xf>
    <xf numFmtId="166" fontId="6" fillId="0" borderId="0" xfId="0" applyNumberFormat="1" applyFont="1" applyFill="1" applyBorder="1" applyAlignment="1">
      <alignment horizontal="center" vertical="center" wrapText="1"/>
    </xf>
    <xf numFmtId="166" fontId="6" fillId="23" borderId="73" xfId="0" applyNumberFormat="1" applyFont="1" applyFill="1" applyBorder="1" applyAlignment="1">
      <alignment vertical="center" wrapText="1"/>
    </xf>
    <xf numFmtId="10" fontId="8" fillId="17" borderId="6" xfId="0" applyNumberFormat="1" applyFont="1" applyFill="1" applyBorder="1" applyAlignment="1">
      <alignment horizontal="center" vertical="center" wrapText="1"/>
    </xf>
    <xf numFmtId="10" fontId="8" fillId="17" borderId="14" xfId="0" applyNumberFormat="1" applyFont="1" applyFill="1" applyBorder="1" applyAlignment="1">
      <alignment horizontal="center" vertical="center" wrapText="1"/>
    </xf>
    <xf numFmtId="10" fontId="8" fillId="17" borderId="16" xfId="0" applyNumberFormat="1" applyFont="1" applyFill="1" applyBorder="1" applyAlignment="1">
      <alignment horizontal="center" vertical="center" wrapText="1"/>
    </xf>
    <xf numFmtId="10" fontId="37" fillId="23" borderId="5" xfId="0" applyNumberFormat="1" applyFont="1" applyFill="1" applyBorder="1" applyAlignment="1">
      <alignment horizontal="center" vertical="center" wrapText="1"/>
    </xf>
    <xf numFmtId="167" fontId="5" fillId="34" borderId="32" xfId="0" applyNumberFormat="1" applyFont="1" applyFill="1" applyBorder="1" applyAlignment="1"/>
    <xf numFmtId="167" fontId="5" fillId="34" borderId="12" xfId="0" applyNumberFormat="1" applyFont="1" applyFill="1" applyBorder="1" applyAlignment="1"/>
    <xf numFmtId="167" fontId="5" fillId="34" borderId="98" xfId="0" applyNumberFormat="1" applyFont="1" applyFill="1" applyBorder="1" applyAlignment="1"/>
    <xf numFmtId="167" fontId="5" fillId="34" borderId="42" xfId="0" applyNumberFormat="1" applyFont="1" applyFill="1" applyBorder="1" applyAlignment="1"/>
    <xf numFmtId="167" fontId="5" fillId="34" borderId="63" xfId="0" applyNumberFormat="1" applyFont="1" applyFill="1" applyBorder="1" applyAlignment="1"/>
    <xf numFmtId="167" fontId="5" fillId="34" borderId="43" xfId="0" applyNumberFormat="1" applyFont="1" applyFill="1" applyBorder="1" applyAlignment="1"/>
    <xf numFmtId="168" fontId="32" fillId="35" borderId="6" xfId="0" applyNumberFormat="1" applyFont="1" applyFill="1" applyBorder="1" applyAlignment="1">
      <alignment horizontal="center" vertical="center" wrapText="1"/>
    </xf>
    <xf numFmtId="168" fontId="32" fillId="35" borderId="14" xfId="0" applyNumberFormat="1" applyFont="1" applyFill="1" applyBorder="1" applyAlignment="1">
      <alignment horizontal="center" vertical="center" wrapText="1"/>
    </xf>
    <xf numFmtId="168" fontId="32" fillId="35" borderId="16" xfId="0" applyNumberFormat="1" applyFont="1" applyFill="1" applyBorder="1" applyAlignment="1">
      <alignment horizontal="center" vertical="center" wrapText="1"/>
    </xf>
    <xf numFmtId="166" fontId="42" fillId="36" borderId="73" xfId="0" applyNumberFormat="1" applyFont="1" applyFill="1" applyBorder="1" applyAlignment="1">
      <alignment vertical="center" wrapText="1"/>
    </xf>
    <xf numFmtId="168" fontId="42" fillId="36" borderId="5" xfId="0" applyNumberFormat="1" applyFont="1" applyFill="1" applyBorder="1" applyAlignment="1">
      <alignment horizontal="center" vertical="center" wrapText="1"/>
    </xf>
    <xf numFmtId="166" fontId="5" fillId="35" borderId="3" xfId="0" applyNumberFormat="1" applyFont="1" applyFill="1" applyBorder="1" applyAlignment="1">
      <alignment horizontal="center" vertical="center" wrapText="1"/>
    </xf>
    <xf numFmtId="166" fontId="5" fillId="35" borderId="20" xfId="0" applyNumberFormat="1" applyFont="1" applyFill="1" applyBorder="1" applyAlignment="1">
      <alignment horizontal="center" vertical="center" wrapText="1"/>
    </xf>
    <xf numFmtId="166" fontId="5" fillId="35" borderId="18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right" vertical="center"/>
    </xf>
    <xf numFmtId="0" fontId="6" fillId="37" borderId="0" xfId="0" applyFont="1" applyFill="1" applyBorder="1" applyAlignment="1">
      <alignment horizontal="right" vertical="center"/>
    </xf>
    <xf numFmtId="0" fontId="6" fillId="19" borderId="100" xfId="0" applyFont="1" applyFill="1" applyBorder="1" applyAlignment="1">
      <alignment horizontal="center" wrapText="1"/>
    </xf>
    <xf numFmtId="0" fontId="6" fillId="11" borderId="101" xfId="0" applyFont="1" applyFill="1" applyBorder="1" applyAlignment="1">
      <alignment horizontal="center" wrapText="1"/>
    </xf>
    <xf numFmtId="0" fontId="6" fillId="11" borderId="12" xfId="0" applyFont="1" applyFill="1" applyBorder="1" applyAlignment="1"/>
    <xf numFmtId="0" fontId="26" fillId="11" borderId="102" xfId="0" applyFont="1" applyFill="1" applyBorder="1" applyAlignment="1">
      <alignment wrapText="1"/>
    </xf>
    <xf numFmtId="0" fontId="6" fillId="16" borderId="101" xfId="0" applyFont="1" applyFill="1" applyBorder="1" applyAlignment="1">
      <alignment horizontal="center" vertical="center" wrapText="1"/>
    </xf>
    <xf numFmtId="0" fontId="26" fillId="16" borderId="10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vertical="center"/>
    </xf>
    <xf numFmtId="0" fontId="57" fillId="0" borderId="39" xfId="0" applyFont="1" applyFill="1" applyBorder="1" applyAlignment="1">
      <alignment horizontal="center" vertical="center"/>
    </xf>
    <xf numFmtId="0" fontId="58" fillId="32" borderId="39" xfId="0" applyFont="1" applyFill="1" applyBorder="1" applyAlignment="1">
      <alignment horizontal="center" vertical="center"/>
    </xf>
    <xf numFmtId="0" fontId="57" fillId="0" borderId="45" xfId="0" applyFont="1" applyFill="1" applyBorder="1" applyAlignment="1">
      <alignment vertical="center"/>
    </xf>
    <xf numFmtId="0" fontId="57" fillId="0" borderId="39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vertical="center"/>
    </xf>
    <xf numFmtId="0" fontId="6" fillId="0" borderId="48" xfId="0" applyFont="1" applyFill="1" applyBorder="1" applyAlignment="1">
      <alignment vertical="center"/>
    </xf>
    <xf numFmtId="0" fontId="6" fillId="0" borderId="102" xfId="0" applyFont="1" applyFill="1" applyBorder="1" applyAlignment="1">
      <alignment vertical="center"/>
    </xf>
    <xf numFmtId="0" fontId="6" fillId="0" borderId="47" xfId="0" applyFont="1" applyFill="1" applyBorder="1" applyAlignment="1">
      <alignment horizontal="left" vertical="center"/>
    </xf>
    <xf numFmtId="0" fontId="6" fillId="0" borderId="46" xfId="0" applyFont="1" applyFill="1" applyBorder="1" applyAlignment="1">
      <alignment vertical="center"/>
    </xf>
    <xf numFmtId="0" fontId="32" fillId="12" borderId="39" xfId="0" applyFont="1" applyFill="1" applyBorder="1" applyAlignment="1">
      <alignment horizontal="center" vertical="center" wrapText="1"/>
    </xf>
    <xf numFmtId="166" fontId="32" fillId="8" borderId="39" xfId="0" applyNumberFormat="1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center" vertical="center"/>
    </xf>
    <xf numFmtId="0" fontId="49" fillId="0" borderId="20" xfId="0" applyFont="1" applyFill="1" applyBorder="1" applyAlignment="1">
      <alignment horizontal="left" vertical="center"/>
    </xf>
    <xf numFmtId="0" fontId="6" fillId="0" borderId="67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10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02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46" xfId="0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right" vertical="center"/>
    </xf>
    <xf numFmtId="49" fontId="10" fillId="0" borderId="0" xfId="0" applyNumberFormat="1" applyFont="1" applyFill="1" applyBorder="1" applyAlignment="1">
      <alignment vertical="center"/>
    </xf>
    <xf numFmtId="0" fontId="59" fillId="25" borderId="63" xfId="0" applyFont="1" applyFill="1" applyBorder="1" applyAlignment="1">
      <alignment horizontal="center"/>
    </xf>
    <xf numFmtId="3" fontId="51" fillId="4" borderId="35" xfId="0" applyNumberFormat="1" applyFont="1" applyFill="1" applyBorder="1" applyAlignment="1">
      <alignment vertical="center"/>
    </xf>
    <xf numFmtId="166" fontId="15" fillId="6" borderId="35" xfId="0" applyNumberFormat="1" applyFont="1" applyFill="1" applyBorder="1" applyAlignment="1">
      <alignment horizontal="center" vertical="center"/>
    </xf>
    <xf numFmtId="166" fontId="6" fillId="6" borderId="37" xfId="0" applyNumberFormat="1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vertical="center" wrapText="1"/>
    </xf>
    <xf numFmtId="0" fontId="54" fillId="0" borderId="2" xfId="0" applyFont="1" applyFill="1" applyBorder="1" applyAlignment="1">
      <alignment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2" xfId="0" applyFont="1" applyFill="1" applyBorder="1" applyAlignment="1">
      <alignment vertical="center"/>
    </xf>
    <xf numFmtId="0" fontId="48" fillId="0" borderId="2" xfId="0" applyFont="1" applyFill="1" applyBorder="1" applyAlignment="1">
      <alignment vertical="center"/>
    </xf>
    <xf numFmtId="0" fontId="45" fillId="0" borderId="27" xfId="0" applyFont="1" applyFill="1" applyBorder="1" applyAlignment="1">
      <alignment vertical="center"/>
    </xf>
    <xf numFmtId="0" fontId="45" fillId="0" borderId="41" xfId="0" applyFont="1" applyFill="1" applyBorder="1" applyAlignment="1">
      <alignment vertical="center"/>
    </xf>
    <xf numFmtId="0" fontId="23" fillId="0" borderId="26" xfId="4" applyFont="1" applyFill="1" applyBorder="1" applyAlignment="1" applyProtection="1">
      <alignment horizontal="left" vertical="center"/>
    </xf>
    <xf numFmtId="0" fontId="6" fillId="0" borderId="4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vertical="center"/>
    </xf>
    <xf numFmtId="3" fontId="15" fillId="0" borderId="26" xfId="0" applyNumberFormat="1" applyFont="1" applyFill="1" applyBorder="1" applyAlignment="1">
      <alignment vertical="center"/>
    </xf>
    <xf numFmtId="164" fontId="15" fillId="0" borderId="44" xfId="0" applyNumberFormat="1" applyFont="1" applyFill="1" applyBorder="1" applyAlignment="1">
      <alignment horizontal="right" vertical="center"/>
    </xf>
    <xf numFmtId="164" fontId="53" fillId="0" borderId="36" xfId="0" applyNumberFormat="1" applyFont="1" applyFill="1" applyBorder="1" applyAlignment="1">
      <alignment horizontal="right" vertical="center"/>
    </xf>
    <xf numFmtId="3" fontId="51" fillId="0" borderId="26" xfId="0" applyNumberFormat="1" applyFont="1" applyFill="1" applyBorder="1" applyAlignment="1">
      <alignment vertical="center"/>
    </xf>
    <xf numFmtId="3" fontId="51" fillId="4" borderId="42" xfId="0" applyNumberFormat="1" applyFont="1" applyFill="1" applyBorder="1" applyAlignment="1">
      <alignment vertical="center"/>
    </xf>
    <xf numFmtId="166" fontId="15" fillId="6" borderId="42" xfId="0" applyNumberFormat="1" applyFont="1" applyFill="1" applyBorder="1" applyAlignment="1">
      <alignment horizontal="center" vertical="center"/>
    </xf>
    <xf numFmtId="166" fontId="6" fillId="6" borderId="43" xfId="0" applyNumberFormat="1" applyFont="1" applyFill="1" applyBorder="1" applyAlignment="1">
      <alignment horizontal="center" vertical="center"/>
    </xf>
    <xf numFmtId="0" fontId="49" fillId="32" borderId="72" xfId="0" applyFont="1" applyFill="1" applyBorder="1" applyAlignment="1">
      <alignment horizontal="center"/>
    </xf>
    <xf numFmtId="0" fontId="59" fillId="25" borderId="62" xfId="0" applyFont="1" applyFill="1" applyBorder="1" applyAlignment="1">
      <alignment horizontal="center"/>
    </xf>
    <xf numFmtId="0" fontId="58" fillId="26" borderId="68" xfId="0" applyFont="1" applyFill="1" applyBorder="1" applyAlignment="1">
      <alignment horizontal="center" vertical="center"/>
    </xf>
    <xf numFmtId="0" fontId="57" fillId="0" borderId="101" xfId="0" applyFont="1" applyFill="1" applyBorder="1" applyAlignment="1">
      <alignment horizontal="center" vertical="center"/>
    </xf>
    <xf numFmtId="0" fontId="57" fillId="0" borderId="67" xfId="0" applyFont="1" applyFill="1" applyBorder="1" applyAlignment="1">
      <alignment horizontal="center" vertical="center"/>
    </xf>
    <xf numFmtId="0" fontId="23" fillId="0" borderId="0" xfId="4" applyFont="1" applyAlignment="1" applyProtection="1"/>
    <xf numFmtId="0" fontId="21" fillId="3" borderId="33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 textRotation="90"/>
    </xf>
    <xf numFmtId="166" fontId="7" fillId="31" borderId="78" xfId="0" applyNumberFormat="1" applyFont="1" applyFill="1" applyBorder="1" applyAlignment="1">
      <alignment horizontal="center" vertical="center" wrapText="1"/>
    </xf>
    <xf numFmtId="0" fontId="39" fillId="0" borderId="26" xfId="0" applyFont="1" applyFill="1" applyBorder="1" applyAlignment="1">
      <alignment horizontal="left" vertical="center"/>
    </xf>
    <xf numFmtId="0" fontId="21" fillId="3" borderId="81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 textRotation="90" wrapText="1"/>
    </xf>
    <xf numFmtId="0" fontId="6" fillId="3" borderId="33" xfId="0" applyFont="1" applyFill="1" applyBorder="1" applyAlignment="1">
      <alignment horizontal="center" vertical="center" textRotation="90" wrapText="1"/>
    </xf>
    <xf numFmtId="0" fontId="9" fillId="3" borderId="33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8" fillId="4" borderId="84" xfId="0" applyFont="1" applyFill="1" applyBorder="1" applyAlignment="1">
      <alignment horizontal="center" vertical="center"/>
    </xf>
    <xf numFmtId="0" fontId="8" fillId="4" borderId="85" xfId="0" applyFont="1" applyFill="1" applyBorder="1" applyAlignment="1">
      <alignment horizontal="center" vertical="center"/>
    </xf>
    <xf numFmtId="0" fontId="8" fillId="4" borderId="86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8" fillId="2" borderId="75" xfId="0" applyFont="1" applyFill="1" applyBorder="1" applyAlignment="1">
      <alignment horizontal="center" vertical="center"/>
    </xf>
    <xf numFmtId="164" fontId="15" fillId="2" borderId="87" xfId="0" applyNumberFormat="1" applyFont="1" applyFill="1" applyBorder="1" applyAlignment="1">
      <alignment horizontal="center" vertical="center"/>
    </xf>
    <xf numFmtId="164" fontId="15" fillId="2" borderId="85" xfId="0" applyNumberFormat="1" applyFont="1" applyFill="1" applyBorder="1" applyAlignment="1">
      <alignment horizontal="center" vertical="center"/>
    </xf>
    <xf numFmtId="164" fontId="15" fillId="2" borderId="88" xfId="0" applyNumberFormat="1" applyFont="1" applyFill="1" applyBorder="1" applyAlignment="1">
      <alignment horizontal="center" vertical="center"/>
    </xf>
    <xf numFmtId="164" fontId="15" fillId="2" borderId="84" xfId="0" applyNumberFormat="1" applyFont="1" applyFill="1" applyBorder="1" applyAlignment="1">
      <alignment horizontal="center" vertical="center"/>
    </xf>
    <xf numFmtId="164" fontId="15" fillId="2" borderId="86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textRotation="90"/>
    </xf>
    <xf numFmtId="0" fontId="8" fillId="4" borderId="33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166" fontId="25" fillId="27" borderId="74" xfId="0" applyNumberFormat="1" applyFont="1" applyFill="1" applyBorder="1" applyAlignment="1">
      <alignment horizontal="center" vertical="center"/>
    </xf>
    <xf numFmtId="166" fontId="25" fillId="27" borderId="75" xfId="0" applyNumberFormat="1" applyFont="1" applyFill="1" applyBorder="1" applyAlignment="1">
      <alignment horizontal="center" vertical="center"/>
    </xf>
    <xf numFmtId="166" fontId="25" fillId="27" borderId="76" xfId="0" applyNumberFormat="1" applyFont="1" applyFill="1" applyBorder="1" applyAlignment="1">
      <alignment horizontal="center" vertical="center"/>
    </xf>
    <xf numFmtId="166" fontId="25" fillId="28" borderId="77" xfId="0" applyNumberFormat="1" applyFont="1" applyFill="1" applyBorder="1" applyAlignment="1">
      <alignment horizontal="center" vertical="center"/>
    </xf>
    <xf numFmtId="166" fontId="25" fillId="28" borderId="78" xfId="0" applyNumberFormat="1" applyFont="1" applyFill="1" applyBorder="1" applyAlignment="1">
      <alignment horizontal="center" vertical="center"/>
    </xf>
    <xf numFmtId="166" fontId="25" fillId="28" borderId="79" xfId="0" applyNumberFormat="1" applyFont="1" applyFill="1" applyBorder="1" applyAlignment="1">
      <alignment horizontal="center" vertical="center"/>
    </xf>
    <xf numFmtId="166" fontId="25" fillId="27" borderId="80" xfId="0" applyNumberFormat="1" applyFont="1" applyFill="1" applyBorder="1" applyAlignment="1">
      <alignment horizontal="center" vertical="center"/>
    </xf>
    <xf numFmtId="166" fontId="25" fillId="27" borderId="79" xfId="0" applyNumberFormat="1" applyFont="1" applyFill="1" applyBorder="1" applyAlignment="1">
      <alignment horizontal="center" vertical="center"/>
    </xf>
    <xf numFmtId="166" fontId="25" fillId="29" borderId="33" xfId="0" applyNumberFormat="1" applyFont="1" applyFill="1" applyBorder="1" applyAlignment="1">
      <alignment horizontal="center" vertical="center"/>
    </xf>
    <xf numFmtId="0" fontId="21" fillId="4" borderId="81" xfId="0" applyFont="1" applyFill="1" applyBorder="1" applyAlignment="1">
      <alignment horizontal="center" vertical="center"/>
    </xf>
    <xf numFmtId="0" fontId="21" fillId="4" borderId="82" xfId="0" applyFont="1" applyFill="1" applyBorder="1" applyAlignment="1">
      <alignment horizontal="center" vertical="center"/>
    </xf>
    <xf numFmtId="0" fontId="21" fillId="4" borderId="83" xfId="0" applyFont="1" applyFill="1" applyBorder="1" applyAlignment="1">
      <alignment horizontal="center" vertical="center"/>
    </xf>
    <xf numFmtId="166" fontId="7" fillId="30" borderId="77" xfId="0" applyNumberFormat="1" applyFont="1" applyFill="1" applyBorder="1" applyAlignment="1">
      <alignment horizontal="center" vertical="center" wrapText="1"/>
    </xf>
    <xf numFmtId="166" fontId="7" fillId="30" borderId="78" xfId="0" applyNumberFormat="1" applyFont="1" applyFill="1" applyBorder="1" applyAlignment="1">
      <alignment horizontal="center" vertical="center" wrapText="1"/>
    </xf>
    <xf numFmtId="42" fontId="6" fillId="2" borderId="89" xfId="0" applyNumberFormat="1" applyFont="1" applyFill="1" applyBorder="1" applyAlignment="1">
      <alignment horizontal="center" vertical="center"/>
    </xf>
    <xf numFmtId="42" fontId="6" fillId="2" borderId="90" xfId="0" applyNumberFormat="1" applyFont="1" applyFill="1" applyBorder="1" applyAlignment="1">
      <alignment horizontal="center" vertical="center"/>
    </xf>
    <xf numFmtId="42" fontId="6" fillId="2" borderId="91" xfId="0" applyNumberFormat="1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 wrapText="1"/>
    </xf>
    <xf numFmtId="0" fontId="5" fillId="2" borderId="75" xfId="0" applyFont="1" applyFill="1" applyBorder="1" applyAlignment="1">
      <alignment horizontal="center" vertical="center" wrapText="1"/>
    </xf>
    <xf numFmtId="166" fontId="7" fillId="33" borderId="95" xfId="0" applyNumberFormat="1" applyFont="1" applyFill="1" applyBorder="1" applyAlignment="1">
      <alignment horizontal="center" vertical="center" wrapText="1"/>
    </xf>
    <xf numFmtId="166" fontId="7" fillId="33" borderId="96" xfId="0" applyNumberFormat="1" applyFont="1" applyFill="1" applyBorder="1" applyAlignment="1">
      <alignment horizontal="center" vertical="center" wrapText="1"/>
    </xf>
    <xf numFmtId="166" fontId="7" fillId="33" borderId="97" xfId="0" applyNumberFormat="1" applyFont="1" applyFill="1" applyBorder="1" applyAlignment="1">
      <alignment horizontal="center" vertical="center" wrapText="1"/>
    </xf>
    <xf numFmtId="0" fontId="7" fillId="37" borderId="0" xfId="0" applyFont="1" applyFill="1" applyBorder="1" applyAlignment="1">
      <alignment horizontal="center"/>
    </xf>
    <xf numFmtId="0" fontId="7" fillId="2" borderId="99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</cellXfs>
  <cellStyles count="11">
    <cellStyle name="Celkem" xfId="1" builtinId="25" customBuiltin="1"/>
    <cellStyle name="Datum" xfId="2"/>
    <cellStyle name="Finanční0" xfId="3"/>
    <cellStyle name="Hypertextový odkaz" xfId="4" builtinId="8"/>
    <cellStyle name="Měna0" xfId="5"/>
    <cellStyle name="Normální" xfId="0" builtinId="0"/>
    <cellStyle name="normální 2" xfId="6"/>
    <cellStyle name="normální 3" xfId="7"/>
    <cellStyle name="Pevný" xfId="8"/>
    <cellStyle name="Záhlaví 1" xfId="9"/>
    <cellStyle name="Záhlaví 2" xfId="10"/>
  </cellStyles>
  <dxfs count="97">
    <dxf>
      <font>
        <color rgb="FF4DD38D"/>
      </font>
    </dxf>
    <dxf>
      <font>
        <color rgb="FF00B050"/>
      </font>
    </dxf>
    <dxf>
      <font>
        <b/>
        <i val="0"/>
        <color rgb="FF00B050"/>
      </font>
    </dxf>
    <dxf>
      <font>
        <color rgb="FF9C0006"/>
      </font>
    </dxf>
    <dxf>
      <font>
        <color rgb="FFFF0000"/>
      </font>
    </dxf>
    <dxf>
      <font>
        <b/>
        <i val="0"/>
        <color rgb="FFFF0000"/>
      </font>
    </dxf>
    <dxf>
      <font>
        <color rgb="FF7DB65E"/>
      </font>
    </dxf>
    <dxf>
      <font>
        <color rgb="FF00B050"/>
      </font>
    </dxf>
    <dxf>
      <font>
        <b/>
        <i val="0"/>
        <color rgb="FF00B050"/>
      </font>
    </dxf>
    <dxf>
      <font>
        <color rgb="FFC00000"/>
      </font>
    </dxf>
    <dxf>
      <font>
        <color rgb="FFFF0000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theme="0" tint="-0.24994659260841701"/>
      </font>
    </dxf>
    <dxf>
      <font>
        <color rgb="FF9C0006"/>
      </font>
    </dxf>
    <dxf>
      <font>
        <color rgb="FFFF0000"/>
        <name val="Cambria"/>
        <scheme val="none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rgb="FF9C0006"/>
      </font>
    </dxf>
    <dxf>
      <font>
        <b/>
        <i val="0"/>
        <color rgb="FFFF0000"/>
      </font>
    </dxf>
    <dxf>
      <font>
        <color theme="0" tint="-0.24994659260841701"/>
      </font>
    </dxf>
    <dxf>
      <font>
        <color rgb="FF9C0006"/>
      </font>
      <fill>
        <patternFill patternType="none">
          <bgColor indexed="65"/>
        </patternFill>
      </fill>
    </dxf>
    <dxf>
      <font>
        <color theme="0" tint="-0.34998626667073579"/>
      </font>
    </dxf>
    <dxf>
      <font>
        <color rgb="FFFF0000"/>
      </font>
    </dxf>
    <dxf>
      <font>
        <color rgb="FF7DB65E"/>
      </font>
    </dxf>
    <dxf>
      <font>
        <color rgb="FF00B050"/>
        <name val="Cambria"/>
        <scheme val="none"/>
      </font>
    </dxf>
    <dxf>
      <font>
        <b/>
        <i val="0"/>
        <color rgb="FF00B050"/>
      </font>
    </dxf>
    <dxf>
      <font>
        <color rgb="FF9C0006"/>
      </font>
    </dxf>
    <dxf>
      <font>
        <color rgb="FFFF0000"/>
        <name val="Cambria"/>
        <scheme val="none"/>
      </font>
    </dxf>
    <dxf>
      <font>
        <b/>
        <i val="0"/>
        <color rgb="FFFF0000"/>
      </font>
    </dxf>
    <dxf>
      <font>
        <color rgb="FF7DB65E"/>
      </font>
    </dxf>
    <dxf>
      <font>
        <color rgb="FF00B050"/>
        <name val="Cambria"/>
        <scheme val="none"/>
      </font>
    </dxf>
    <dxf>
      <font>
        <b/>
        <i val="0"/>
        <color rgb="FF00B050"/>
      </font>
    </dxf>
    <dxf>
      <font>
        <color rgb="FF9C0006"/>
      </font>
    </dxf>
    <dxf>
      <font>
        <color rgb="FFFF0000"/>
        <name val="Cambria"/>
        <scheme val="none"/>
      </font>
    </dxf>
    <dxf>
      <font>
        <b/>
        <i val="0"/>
        <color rgb="FFFF0000"/>
      </font>
    </dxf>
    <dxf>
      <font>
        <color rgb="FF7DB65E"/>
      </font>
    </dxf>
    <dxf>
      <font>
        <color rgb="FF00B050"/>
      </font>
    </dxf>
    <dxf>
      <font>
        <b/>
        <i val="0"/>
        <color rgb="FF00B050"/>
      </font>
    </dxf>
    <dxf>
      <font>
        <color rgb="FF9C0006"/>
      </font>
    </dxf>
    <dxf>
      <font>
        <color rgb="FFFF0000"/>
      </font>
    </dxf>
    <dxf>
      <font>
        <b/>
        <i val="0"/>
        <color rgb="FFFF0000"/>
      </font>
    </dxf>
    <dxf>
      <font>
        <color rgb="FF7DB65E"/>
      </font>
    </dxf>
    <dxf>
      <font>
        <color rgb="FF00B050"/>
      </font>
    </dxf>
    <dxf>
      <font>
        <b/>
        <i val="0"/>
        <color rgb="FF00B050"/>
      </font>
    </dxf>
    <dxf>
      <font>
        <color rgb="FF9C0006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theme="0" tint="-0.34998626667073579"/>
      </font>
    </dxf>
    <dxf>
      <font>
        <color rgb="FFFF000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7CE"/>
        </patternFill>
      </fill>
    </dxf>
    <dxf>
      <font>
        <color rgb="FFC0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0DAEA"/>
      <color rgb="FFE7E2EE"/>
      <color rgb="FFCDC3DB"/>
      <color rgb="FFC2B5D3"/>
      <color rgb="FFDAD2E4"/>
      <color rgb="FFBEB0D0"/>
      <color rgb="FFA693BF"/>
      <color rgb="FFFFCCCC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tarosta@stracov.cz" TargetMode="External"/><Relationship Id="rId671" Type="http://schemas.openxmlformats.org/officeDocument/2006/relationships/hyperlink" Target="http://www.kosice.cz/" TargetMode="External"/><Relationship Id="rId769" Type="http://schemas.openxmlformats.org/officeDocument/2006/relationships/hyperlink" Target="mailto:obec.miletin@iol.cz" TargetMode="External"/><Relationship Id="rId976" Type="http://schemas.openxmlformats.org/officeDocument/2006/relationships/hyperlink" Target="mailto:starosta@ulibice.cz" TargetMode="External"/><Relationship Id="rId21" Type="http://schemas.openxmlformats.org/officeDocument/2006/relationships/hyperlink" Target="http://www.chotevice.cz/" TargetMode="External"/><Relationship Id="rId324" Type="http://schemas.openxmlformats.org/officeDocument/2006/relationships/hyperlink" Target="mailto:zernov@zernov.cz" TargetMode="External"/><Relationship Id="rId531" Type="http://schemas.openxmlformats.org/officeDocument/2006/relationships/hyperlink" Target="mailto:e-podatelna@ou-castolovice.cz" TargetMode="External"/><Relationship Id="rId629" Type="http://schemas.openxmlformats.org/officeDocument/2006/relationships/hyperlink" Target="http://www.chleny.cz/" TargetMode="External"/><Relationship Id="rId170" Type="http://schemas.openxmlformats.org/officeDocument/2006/relationships/hyperlink" Target="mailto:kopidlno@kopidlno.cz" TargetMode="External"/><Relationship Id="rId836" Type="http://schemas.openxmlformats.org/officeDocument/2006/relationships/hyperlink" Target="mailto:obec@podbrezi.cz" TargetMode="External"/><Relationship Id="rId1021" Type="http://schemas.openxmlformats.org/officeDocument/2006/relationships/hyperlink" Target="http://www.vrchovnice.cz/" TargetMode="External"/><Relationship Id="rId268" Type="http://schemas.openxmlformats.org/officeDocument/2006/relationships/hyperlink" Target="mailto:ou.horenice@tiscali.cz" TargetMode="External"/><Relationship Id="rId475" Type="http://schemas.openxmlformats.org/officeDocument/2006/relationships/hyperlink" Target="http://www.barchov.cz/" TargetMode="External"/><Relationship Id="rId682" Type="http://schemas.openxmlformats.org/officeDocument/2006/relationships/hyperlink" Target="http://www.obeckralovec.cz/" TargetMode="External"/><Relationship Id="rId903" Type="http://schemas.openxmlformats.org/officeDocument/2006/relationships/hyperlink" Target="http://www.smidary.cz/" TargetMode="External"/><Relationship Id="rId32" Type="http://schemas.openxmlformats.org/officeDocument/2006/relationships/hyperlink" Target="http://www.zdarnadmetuji.cz/" TargetMode="External"/><Relationship Id="rId128" Type="http://schemas.openxmlformats.org/officeDocument/2006/relationships/hyperlink" Target="mailto:urad@vsestary-obec.cz" TargetMode="External"/><Relationship Id="rId335" Type="http://schemas.openxmlformats.org/officeDocument/2006/relationships/hyperlink" Target="mailto:obec.cernikovice@tiscali.cz" TargetMode="External"/><Relationship Id="rId542" Type="http://schemas.openxmlformats.org/officeDocument/2006/relationships/hyperlink" Target="mailto:obec@cervenahora.cz" TargetMode="External"/><Relationship Id="rId987" Type="http://schemas.openxmlformats.org/officeDocument/2006/relationships/hyperlink" Target="http://www.velis.cz/" TargetMode="External"/><Relationship Id="rId181" Type="http://schemas.openxmlformats.org/officeDocument/2006/relationships/hyperlink" Target="mailto:markvartice@seznam.cz" TargetMode="External"/><Relationship Id="rId402" Type="http://schemas.openxmlformats.org/officeDocument/2006/relationships/hyperlink" Target="mailto:obec@borovnice.cz" TargetMode="External"/><Relationship Id="rId847" Type="http://schemas.openxmlformats.org/officeDocument/2006/relationships/hyperlink" Target="http://www.prasek.cz/" TargetMode="External"/><Relationship Id="rId1032" Type="http://schemas.openxmlformats.org/officeDocument/2006/relationships/hyperlink" Target="http://www.vysokov.cz/" TargetMode="External"/><Relationship Id="rId279" Type="http://schemas.openxmlformats.org/officeDocument/2006/relationships/hyperlink" Target="mailto:obec.lhotaph@seznam.cz" TargetMode="External"/><Relationship Id="rId486" Type="http://schemas.openxmlformats.org/officeDocument/2006/relationships/hyperlink" Target="mailto:info@bilatremesna.cz" TargetMode="External"/><Relationship Id="rId693" Type="http://schemas.openxmlformats.org/officeDocument/2006/relationships/hyperlink" Target="http://www.obeclampertice.cz/" TargetMode="External"/><Relationship Id="rId707" Type="http://schemas.openxmlformats.org/officeDocument/2006/relationships/hyperlink" Target="http://www.obec-liberk.cz/" TargetMode="External"/><Relationship Id="rId914" Type="http://schemas.openxmlformats.org/officeDocument/2006/relationships/hyperlink" Target="http://www.obec-stanovice.cz/" TargetMode="External"/><Relationship Id="rId43" Type="http://schemas.openxmlformats.org/officeDocument/2006/relationships/hyperlink" Target="mailto:cernozice@iol.cz" TargetMode="External"/><Relationship Id="rId139" Type="http://schemas.openxmlformats.org/officeDocument/2006/relationships/hyperlink" Target="mailto:borek.ou@tiscali.cz" TargetMode="External"/><Relationship Id="rId346" Type="http://schemas.openxmlformats.org/officeDocument/2006/relationships/hyperlink" Target="mailto:obecchlistov@seznam.cz" TargetMode="External"/><Relationship Id="rId553" Type="http://schemas.openxmlformats.org/officeDocument/2006/relationships/hyperlink" Target="http://web.telecom.cz/obeccestice/" TargetMode="External"/><Relationship Id="rId760" Type="http://schemas.openxmlformats.org/officeDocument/2006/relationships/hyperlink" Target="http://www.obecmarsov.cz/" TargetMode="External"/><Relationship Id="rId998" Type="http://schemas.openxmlformats.org/officeDocument/2006/relationships/hyperlink" Target="http://www.velkyvrestov.cz/" TargetMode="External"/><Relationship Id="rId192" Type="http://schemas.openxmlformats.org/officeDocument/2006/relationships/hyperlink" Target="mailto:obecostruzno@seznam.cz" TargetMode="External"/><Relationship Id="rId206" Type="http://schemas.openxmlformats.org/officeDocument/2006/relationships/hyperlink" Target="mailto:ou@slatiny.cz" TargetMode="External"/><Relationship Id="rId413" Type="http://schemas.openxmlformats.org/officeDocument/2006/relationships/hyperlink" Target="mailto:obec.doubravice@seznam.cz" TargetMode="External"/><Relationship Id="rId858" Type="http://schemas.openxmlformats.org/officeDocument/2006/relationships/hyperlink" Target="http://www.radikovice.net/" TargetMode="External"/><Relationship Id="rId1043" Type="http://schemas.openxmlformats.org/officeDocument/2006/relationships/hyperlink" Target="http://www.zdobin.cz/" TargetMode="External"/><Relationship Id="rId497" Type="http://schemas.openxmlformats.org/officeDocument/2006/relationships/hyperlink" Target="mailto:obec.bohdasin@worldonline.cz" TargetMode="External"/><Relationship Id="rId620" Type="http://schemas.openxmlformats.org/officeDocument/2006/relationships/hyperlink" Target="http://www.hradek-u-nechanic.cz/" TargetMode="External"/><Relationship Id="rId718" Type="http://schemas.openxmlformats.org/officeDocument/2006/relationships/hyperlink" Target="http://www.licno.cz/" TargetMode="External"/><Relationship Id="rId925" Type="http://schemas.openxmlformats.org/officeDocument/2006/relationships/hyperlink" Target="http://www.starybydzov.cz/" TargetMode="External"/><Relationship Id="rId357" Type="http://schemas.openxmlformats.org/officeDocument/2006/relationships/hyperlink" Target="mailto:obec.libel@tiscali.cz" TargetMode="External"/><Relationship Id="rId54" Type="http://schemas.openxmlformats.org/officeDocument/2006/relationships/hyperlink" Target="mailto:ou@hradek-u-nechanic.cz" TargetMode="External"/><Relationship Id="rId217" Type="http://schemas.openxmlformats.org/officeDocument/2006/relationships/hyperlink" Target="mailto:obec@sarovcova-lhota.cz" TargetMode="External"/><Relationship Id="rId564" Type="http://schemas.openxmlformats.org/officeDocument/2006/relationships/hyperlink" Target="http://www.obecdobrany.cz/" TargetMode="External"/><Relationship Id="rId771" Type="http://schemas.openxmlformats.org/officeDocument/2006/relationships/hyperlink" Target="mailto:obecni.urad@miloviceuhoric.cz" TargetMode="External"/><Relationship Id="rId869" Type="http://schemas.openxmlformats.org/officeDocument/2006/relationships/hyperlink" Target="http://www.obecroudnice.cz/" TargetMode="External"/><Relationship Id="rId424" Type="http://schemas.openxmlformats.org/officeDocument/2006/relationships/hyperlink" Target="mailto:obec@choustnikovohradiste.cz" TargetMode="External"/><Relationship Id="rId631" Type="http://schemas.openxmlformats.org/officeDocument/2006/relationships/hyperlink" Target="http://www.cholenice.cz/" TargetMode="External"/><Relationship Id="rId729" Type="http://schemas.openxmlformats.org/officeDocument/2006/relationships/hyperlink" Target="mailto:obec@lovcice.eu" TargetMode="External"/><Relationship Id="rId1054" Type="http://schemas.openxmlformats.org/officeDocument/2006/relationships/hyperlink" Target="http://www.zeleznice.net/" TargetMode="External"/><Relationship Id="rId270" Type="http://schemas.openxmlformats.org/officeDocument/2006/relationships/hyperlink" Target="mailto:starosta@mestohronov.cz" TargetMode="External"/><Relationship Id="rId936" Type="http://schemas.openxmlformats.org/officeDocument/2006/relationships/hyperlink" Target="http://www.suchydul.cz/" TargetMode="External"/><Relationship Id="rId65" Type="http://schemas.openxmlformats.org/officeDocument/2006/relationships/hyperlink" Target="mailto:starosta@kratonohy.cz" TargetMode="External"/><Relationship Id="rId130" Type="http://schemas.openxmlformats.org/officeDocument/2006/relationships/hyperlink" Target="mailto:starosta@vysoka-nad-labem.cz" TargetMode="External"/><Relationship Id="rId368" Type="http://schemas.openxmlformats.org/officeDocument/2006/relationships/hyperlink" Target="mailto:skrabalova@mu.opocno.cz" TargetMode="External"/><Relationship Id="rId575" Type="http://schemas.openxmlformats.org/officeDocument/2006/relationships/hyperlink" Target="http://www.dolnilanov.cz/" TargetMode="External"/><Relationship Id="rId782" Type="http://schemas.openxmlformats.org/officeDocument/2006/relationships/hyperlink" Target="http://www.nahorany.blog.cz/" TargetMode="External"/><Relationship Id="rId228" Type="http://schemas.openxmlformats.org/officeDocument/2006/relationships/hyperlink" Target="mailto:obecvelis@tiscali.cz" TargetMode="External"/><Relationship Id="rId435" Type="http://schemas.openxmlformats.org/officeDocument/2006/relationships/hyperlink" Target="mailto:obec.libnatov@seznam.cz" TargetMode="External"/><Relationship Id="rId642" Type="http://schemas.openxmlformats.org/officeDocument/2006/relationships/hyperlink" Target="http://www.janske-lazne.cz/" TargetMode="External"/><Relationship Id="rId1065" Type="http://schemas.openxmlformats.org/officeDocument/2006/relationships/comments" Target="../comments1.xml"/><Relationship Id="rId281" Type="http://schemas.openxmlformats.org/officeDocument/2006/relationships/hyperlink" Target="mailto:j.krticka@machov-obec.cz" TargetMode="External"/><Relationship Id="rId502" Type="http://schemas.openxmlformats.org/officeDocument/2006/relationships/hyperlink" Target="http://www.ouborek.estranky.cz/" TargetMode="External"/><Relationship Id="rId947" Type="http://schemas.openxmlformats.org/officeDocument/2006/relationships/hyperlink" Target="http://www.sarovcova-lhota.cz/" TargetMode="External"/><Relationship Id="rId76" Type="http://schemas.openxmlformats.org/officeDocument/2006/relationships/hyperlink" Target="mailto:oulodin@mybox.cz" TargetMode="External"/><Relationship Id="rId141" Type="http://schemas.openxmlformats.org/officeDocument/2006/relationships/hyperlink" Target="mailto:brezina.ou@seznam.cz" TargetMode="External"/><Relationship Id="rId379" Type="http://schemas.openxmlformats.org/officeDocument/2006/relationships/hyperlink" Target="mailto:semechnice@semechnice.cz" TargetMode="External"/><Relationship Id="rId586" Type="http://schemas.openxmlformats.org/officeDocument/2006/relationships/hyperlink" Target="http://www.dubenec.cz/" TargetMode="External"/><Relationship Id="rId793" Type="http://schemas.openxmlformats.org/officeDocument/2006/relationships/hyperlink" Target="http://www.obecnevratice.cz/" TargetMode="External"/><Relationship Id="rId807" Type="http://schemas.openxmlformats.org/officeDocument/2006/relationships/hyperlink" Target="http://www.oharice.cz/" TargetMode="External"/><Relationship Id="rId7" Type="http://schemas.openxmlformats.org/officeDocument/2006/relationships/hyperlink" Target="mailto:ou@obec-jilovice.cz" TargetMode="External"/><Relationship Id="rId239" Type="http://schemas.openxmlformats.org/officeDocument/2006/relationships/hyperlink" Target="http://www.zlunice.cz/" TargetMode="External"/><Relationship Id="rId446" Type="http://schemas.openxmlformats.org/officeDocument/2006/relationships/hyperlink" Target="mailto:obec.prosecne@iol.cz" TargetMode="External"/><Relationship Id="rId653" Type="http://schemas.openxmlformats.org/officeDocument/2006/relationships/hyperlink" Target="http://www.mujicin.cz/" TargetMode="External"/><Relationship Id="rId292" Type="http://schemas.openxmlformats.org/officeDocument/2006/relationships/hyperlink" Target="mailto:starosta@obecotovice.cz" TargetMode="External"/><Relationship Id="rId306" Type="http://schemas.openxmlformats.org/officeDocument/2006/relationships/hyperlink" Target="mailto:helena.toldova@obecstudnicena.cz" TargetMode="External"/><Relationship Id="rId860" Type="http://schemas.openxmlformats.org/officeDocument/2006/relationships/hyperlink" Target="http://www.radostov.cz/" TargetMode="External"/><Relationship Id="rId958" Type="http://schemas.openxmlformats.org/officeDocument/2006/relationships/hyperlink" Target="http://www.obec-trotina.cz/" TargetMode="External"/><Relationship Id="rId87" Type="http://schemas.openxmlformats.org/officeDocument/2006/relationships/hyperlink" Target="mailto:nedeliste@seznam.cz" TargetMode="External"/><Relationship Id="rId513" Type="http://schemas.openxmlformats.org/officeDocument/2006/relationships/hyperlink" Target="mailto:podatelna@broumov-mesto.cz" TargetMode="External"/><Relationship Id="rId597" Type="http://schemas.openxmlformats.org/officeDocument/2006/relationships/hyperlink" Target="http://www.hlusice.com/" TargetMode="External"/><Relationship Id="rId720" Type="http://schemas.openxmlformats.org/officeDocument/2006/relationships/hyperlink" Target="http://www.lipanadorlici.cz/" TargetMode="External"/><Relationship Id="rId818" Type="http://schemas.openxmlformats.org/officeDocument/2006/relationships/hyperlink" Target="mailto:obec.osecnice@tiscali.cz" TargetMode="External"/><Relationship Id="rId152" Type="http://schemas.openxmlformats.org/officeDocument/2006/relationships/hyperlink" Target="mailto:ou.drevenice@tiscali.cz" TargetMode="External"/><Relationship Id="rId457" Type="http://schemas.openxmlformats.org/officeDocument/2006/relationships/hyperlink" Target="mailto:adamec@trutnov.cz" TargetMode="External"/><Relationship Id="rId1003" Type="http://schemas.openxmlformats.org/officeDocument/2006/relationships/hyperlink" Target="http://www.vidochov.cz/" TargetMode="External"/><Relationship Id="rId664" Type="http://schemas.openxmlformats.org/officeDocument/2006/relationships/hyperlink" Target="mailto:ou.kocbere@cmail.cz" TargetMode="External"/><Relationship Id="rId871" Type="http://schemas.openxmlformats.org/officeDocument/2006/relationships/hyperlink" Target="http://www.rtyne.cz/" TargetMode="External"/><Relationship Id="rId969" Type="http://schemas.openxmlformats.org/officeDocument/2006/relationships/hyperlink" Target="http://www.tutleky.cz/" TargetMode="External"/><Relationship Id="rId14" Type="http://schemas.openxmlformats.org/officeDocument/2006/relationships/hyperlink" Target="mailto:obecniurad@bartosovice.eu" TargetMode="External"/><Relationship Id="rId317" Type="http://schemas.openxmlformats.org/officeDocument/2006/relationships/hyperlink" Target="mailto:ouvlkov@email.cz" TargetMode="External"/><Relationship Id="rId524" Type="http://schemas.openxmlformats.org/officeDocument/2006/relationships/hyperlink" Target="http://www.obecbukvice.cz/" TargetMode="External"/><Relationship Id="rId731" Type="http://schemas.openxmlformats.org/officeDocument/2006/relationships/hyperlink" Target="http://www.lukavec.eu/" TargetMode="External"/><Relationship Id="rId98" Type="http://schemas.openxmlformats.org/officeDocument/2006/relationships/hyperlink" Target="mailto:obec.prasek@volny.cz" TargetMode="External"/><Relationship Id="rId163" Type="http://schemas.openxmlformats.org/officeDocument/2006/relationships/hyperlink" Target="mailto:maly@mujicin.cz" TargetMode="External"/><Relationship Id="rId370" Type="http://schemas.openxmlformats.org/officeDocument/2006/relationships/hyperlink" Target="mailto:starosta@pecin.cz" TargetMode="External"/><Relationship Id="rId829" Type="http://schemas.openxmlformats.org/officeDocument/2006/relationships/hyperlink" Target="mailto:obec@pecin.cz" TargetMode="External"/><Relationship Id="rId1014" Type="http://schemas.openxmlformats.org/officeDocument/2006/relationships/hyperlink" Target="http://www.obec-voderady.cz/" TargetMode="External"/><Relationship Id="rId230" Type="http://schemas.openxmlformats.org/officeDocument/2006/relationships/hyperlink" Target="mailto:info@vitineves.cz" TargetMode="External"/><Relationship Id="rId468" Type="http://schemas.openxmlformats.org/officeDocument/2006/relationships/hyperlink" Target="mailto:oukralovec@volny.cz" TargetMode="External"/><Relationship Id="rId675" Type="http://schemas.openxmlformats.org/officeDocument/2006/relationships/hyperlink" Target="http://www.kostelecno.cz/" TargetMode="External"/><Relationship Id="rId882" Type="http://schemas.openxmlformats.org/officeDocument/2006/relationships/hyperlink" Target="http://www.obec-sber.cz/" TargetMode="External"/><Relationship Id="rId25" Type="http://schemas.openxmlformats.org/officeDocument/2006/relationships/hyperlink" Target="http://www.obec-sadova.cz/" TargetMode="External"/><Relationship Id="rId328" Type="http://schemas.openxmlformats.org/officeDocument/2006/relationships/hyperlink" Target="mailto:starosta@bolehost.cz" TargetMode="External"/><Relationship Id="rId535" Type="http://schemas.openxmlformats.org/officeDocument/2006/relationships/hyperlink" Target="http://www.cerncice.eu/" TargetMode="External"/><Relationship Id="rId742" Type="http://schemas.openxmlformats.org/officeDocument/2006/relationships/hyperlink" Target="mailto:zdenka.seidelova@prepychy.cz" TargetMode="External"/><Relationship Id="rId174" Type="http://schemas.openxmlformats.org/officeDocument/2006/relationships/hyperlink" Target="mailto:obec.kyje@tiscali.cz" TargetMode="External"/><Relationship Id="rId381" Type="http://schemas.openxmlformats.org/officeDocument/2006/relationships/hyperlink" Target="mailto:starosta@slatinanz.cz" TargetMode="External"/><Relationship Id="rId602" Type="http://schemas.openxmlformats.org/officeDocument/2006/relationships/hyperlink" Target="http://www.holohlavy.cz/" TargetMode="External"/><Relationship Id="rId1025" Type="http://schemas.openxmlformats.org/officeDocument/2006/relationships/hyperlink" Target="http://www.vresnik.org/" TargetMode="External"/><Relationship Id="rId241" Type="http://schemas.openxmlformats.org/officeDocument/2006/relationships/hyperlink" Target="http://www.ceskaskalice.cz/" TargetMode="External"/><Relationship Id="rId479" Type="http://schemas.openxmlformats.org/officeDocument/2006/relationships/hyperlink" Target="http://www.belec.trebechovicko.cz/" TargetMode="External"/><Relationship Id="rId686" Type="http://schemas.openxmlformats.org/officeDocument/2006/relationships/hyperlink" Target="http://www.obec-krchleby.cz/" TargetMode="External"/><Relationship Id="rId893" Type="http://schemas.openxmlformats.org/officeDocument/2006/relationships/hyperlink" Target="mailto:obec@slatinanadupou.cz" TargetMode="External"/><Relationship Id="rId907" Type="http://schemas.openxmlformats.org/officeDocument/2006/relationships/hyperlink" Target="http://www.snezne.net/" TargetMode="External"/><Relationship Id="rId36" Type="http://schemas.openxmlformats.org/officeDocument/2006/relationships/hyperlink" Target="mailto:obec.babice@seznam.cz" TargetMode="External"/><Relationship Id="rId339" Type="http://schemas.openxmlformats.org/officeDocument/2006/relationships/hyperlink" Target="mailto:a.krizova@destne.info" TargetMode="External"/><Relationship Id="rId546" Type="http://schemas.openxmlformats.org/officeDocument/2006/relationships/hyperlink" Target="http://www.cervenykostelec.cz/" TargetMode="External"/><Relationship Id="rId753" Type="http://schemas.openxmlformats.org/officeDocument/2006/relationships/hyperlink" Target="mailto:stavebni@mestoborohradek.cz" TargetMode="External"/><Relationship Id="rId101" Type="http://schemas.openxmlformats.org/officeDocument/2006/relationships/hyperlink" Target="mailto:ou.psanky@seznam.cz" TargetMode="External"/><Relationship Id="rId185" Type="http://schemas.openxmlformats.org/officeDocument/2006/relationships/hyperlink" Target="mailto:obec@mlazovice.cz" TargetMode="External"/><Relationship Id="rId406" Type="http://schemas.openxmlformats.org/officeDocument/2006/relationships/hyperlink" Target="mailto:starosta.branna@seznam.cz" TargetMode="External"/><Relationship Id="rId960" Type="http://schemas.openxmlformats.org/officeDocument/2006/relationships/hyperlink" Target="mailto:podatelna@mutrebechovice.cz" TargetMode="External"/><Relationship Id="rId1036" Type="http://schemas.openxmlformats.org/officeDocument/2006/relationships/hyperlink" Target="http://www.zabrezi-recice.cz/" TargetMode="External"/><Relationship Id="rId392" Type="http://schemas.openxmlformats.org/officeDocument/2006/relationships/hyperlink" Target="mailto:urad@obec-voderady.cz" TargetMode="External"/><Relationship Id="rId613" Type="http://schemas.openxmlformats.org/officeDocument/2006/relationships/hyperlink" Target="http://www.horicky.cz/" TargetMode="External"/><Relationship Id="rId697" Type="http://schemas.openxmlformats.org/officeDocument/2006/relationships/hyperlink" Target="mailto:podatelna@lazne-belohrad.cz" TargetMode="External"/><Relationship Id="rId820" Type="http://schemas.openxmlformats.org/officeDocument/2006/relationships/hyperlink" Target="mailto:obec@osekusobotky.cz" TargetMode="External"/><Relationship Id="rId918" Type="http://schemas.openxmlformats.org/officeDocument/2006/relationships/hyperlink" Target="http://www.staravodahk.cz/" TargetMode="External"/><Relationship Id="rId252" Type="http://schemas.openxmlformats.org/officeDocument/2006/relationships/hyperlink" Target="mailto:starosta@obecbozanov.cz" TargetMode="External"/><Relationship Id="rId47" Type="http://schemas.openxmlformats.org/officeDocument/2006/relationships/hyperlink" Target="mailto:obec@dolni-prim.cz" TargetMode="External"/><Relationship Id="rId112" Type="http://schemas.openxmlformats.org/officeDocument/2006/relationships/hyperlink" Target="mailto:starosta@mestosmirice.cz" TargetMode="External"/><Relationship Id="rId557" Type="http://schemas.openxmlformats.org/officeDocument/2006/relationships/hyperlink" Target="http://www.obecdetenice.cz/" TargetMode="External"/><Relationship Id="rId764" Type="http://schemas.openxmlformats.org/officeDocument/2006/relationships/hyperlink" Target="http://www.mezileci.cz/" TargetMode="External"/><Relationship Id="rId971" Type="http://schemas.openxmlformats.org/officeDocument/2006/relationships/hyperlink" Target="http://www.tyniste.cz/" TargetMode="External"/><Relationship Id="rId196" Type="http://schemas.openxmlformats.org/officeDocument/2006/relationships/hyperlink" Target="mailto:mestys.podhradi@seznam.cz" TargetMode="External"/><Relationship Id="rId417" Type="http://schemas.openxmlformats.org/officeDocument/2006/relationships/hyperlink" Target="mailto:ou.h.brusnice@raz-dva.cz" TargetMode="External"/><Relationship Id="rId624" Type="http://schemas.openxmlformats.org/officeDocument/2006/relationships/hyperlink" Target="mailto:info@hribojedy.cz" TargetMode="External"/><Relationship Id="rId831" Type="http://schemas.openxmlformats.org/officeDocument/2006/relationships/hyperlink" Target="http://www.petrovice.eu/" TargetMode="External"/><Relationship Id="rId1047" Type="http://schemas.openxmlformats.org/officeDocument/2006/relationships/hyperlink" Target="http://www.zeleneckalhota.cz/" TargetMode="External"/><Relationship Id="rId263" Type="http://schemas.openxmlformats.org/officeDocument/2006/relationships/hyperlink" Target="mailto:starosta@hejtmankovice.cz" TargetMode="External"/><Relationship Id="rId470" Type="http://schemas.openxmlformats.org/officeDocument/2006/relationships/hyperlink" Target="http://www.obecadrspach.cz/" TargetMode="External"/><Relationship Id="rId929" Type="http://schemas.openxmlformats.org/officeDocument/2006/relationships/hyperlink" Target="http://www.oustrazne.cz/" TargetMode="External"/><Relationship Id="rId58" Type="http://schemas.openxmlformats.org/officeDocument/2006/relationships/hyperlink" Target="mailto:jenikovice@wo.cz" TargetMode="External"/><Relationship Id="rId123" Type="http://schemas.openxmlformats.org/officeDocument/2006/relationships/hyperlink" Target="mailto:jiri.nemec@mutrebechovice.cz" TargetMode="External"/><Relationship Id="rId330" Type="http://schemas.openxmlformats.org/officeDocument/2006/relationships/hyperlink" Target="mailto:ou@obecbystre.cz" TargetMode="External"/><Relationship Id="rId568" Type="http://schemas.openxmlformats.org/officeDocument/2006/relationships/hyperlink" Target="mailto:obec@dbranna.cz" TargetMode="External"/><Relationship Id="rId775" Type="http://schemas.openxmlformats.org/officeDocument/2006/relationships/hyperlink" Target="http://www.mlazovice.cz/" TargetMode="External"/><Relationship Id="rId982" Type="http://schemas.openxmlformats.org/officeDocument/2006/relationships/hyperlink" Target="mailto:ou@valdice.cz" TargetMode="External"/><Relationship Id="rId428" Type="http://schemas.openxmlformats.org/officeDocument/2006/relationships/hyperlink" Target="mailto:klasterska.lhota@seznam.cz" TargetMode="External"/><Relationship Id="rId635" Type="http://schemas.openxmlformats.org/officeDocument/2006/relationships/hyperlink" Target="http://www.chuderice.cz/" TargetMode="External"/><Relationship Id="rId842" Type="http://schemas.openxmlformats.org/officeDocument/2006/relationships/hyperlink" Target="mailto:meu@meu-police.cz" TargetMode="External"/><Relationship Id="rId1058" Type="http://schemas.openxmlformats.org/officeDocument/2006/relationships/hyperlink" Target="mailto:butoves@obcecr.cz" TargetMode="External"/><Relationship Id="rId274" Type="http://schemas.openxmlformats.org/officeDocument/2006/relationships/hyperlink" Target="mailto:obec.jasenna@tiscali.cz" TargetMode="External"/><Relationship Id="rId481" Type="http://schemas.openxmlformats.org/officeDocument/2006/relationships/hyperlink" Target="mailto:podatelna@benatkynb.cz" TargetMode="External"/><Relationship Id="rId702" Type="http://schemas.openxmlformats.org/officeDocument/2006/relationships/hyperlink" Target="mailto:mestoliban@mestoliban.cz;%20podatelna@mestoliban.cz" TargetMode="External"/><Relationship Id="rId69" Type="http://schemas.openxmlformats.org/officeDocument/2006/relationships/hyperlink" Target="mailto:oulhota@iol.cz" TargetMode="External"/><Relationship Id="rId134" Type="http://schemas.openxmlformats.org/officeDocument/2006/relationships/hyperlink" Target="mailto:bacalky@centrum.cz" TargetMode="External"/><Relationship Id="rId579" Type="http://schemas.openxmlformats.org/officeDocument/2006/relationships/hyperlink" Target="http://www.dolniradechova.cz/" TargetMode="External"/><Relationship Id="rId786" Type="http://schemas.openxmlformats.org/officeDocument/2006/relationships/hyperlink" Target="http://www.nechanice.cz/" TargetMode="External"/><Relationship Id="rId993" Type="http://schemas.openxmlformats.org/officeDocument/2006/relationships/hyperlink" Target="mailto:urad@velkesvatonovice.cz" TargetMode="External"/><Relationship Id="rId341" Type="http://schemas.openxmlformats.org/officeDocument/2006/relationships/hyperlink" Target="mailto:starosta@mestodobruska.cz" TargetMode="External"/><Relationship Id="rId439" Type="http://schemas.openxmlformats.org/officeDocument/2006/relationships/hyperlink" Target="mailto:starosta@malesvatonovice.cz" TargetMode="External"/><Relationship Id="rId646" Type="http://schemas.openxmlformats.org/officeDocument/2006/relationships/hyperlink" Target="http://www.obec-jasenna.cz/" TargetMode="External"/><Relationship Id="rId201" Type="http://schemas.openxmlformats.org/officeDocument/2006/relationships/hyperlink" Target="mailto:obecrokytnany@seznam.cz" TargetMode="External"/><Relationship Id="rId285" Type="http://schemas.openxmlformats.org/officeDocument/2006/relationships/hyperlink" Target="mailto:muckova@mezimesti.cz" TargetMode="External"/><Relationship Id="rId506" Type="http://schemas.openxmlformats.org/officeDocument/2006/relationships/hyperlink" Target="http://www.borovnice.info/" TargetMode="External"/><Relationship Id="rId853" Type="http://schemas.openxmlformats.org/officeDocument/2006/relationships/hyperlink" Target="http://www.prevysov.cz/" TargetMode="External"/><Relationship Id="rId492" Type="http://schemas.openxmlformats.org/officeDocument/2006/relationships/hyperlink" Target="mailto:blesno@blesno.cz" TargetMode="External"/><Relationship Id="rId713" Type="http://schemas.openxmlformats.org/officeDocument/2006/relationships/hyperlink" Target="http://www.libotov.cz/" TargetMode="External"/><Relationship Id="rId797" Type="http://schemas.openxmlformats.org/officeDocument/2006/relationships/hyperlink" Target="http://www.obecnovemesto.cz/" TargetMode="External"/><Relationship Id="rId920" Type="http://schemas.openxmlformats.org/officeDocument/2006/relationships/hyperlink" Target="http://www.starebuky.cz/" TargetMode="External"/><Relationship Id="rId145" Type="http://schemas.openxmlformats.org/officeDocument/2006/relationships/hyperlink" Target="mailto:starosta@cerekvice.cz" TargetMode="External"/><Relationship Id="rId352" Type="http://schemas.openxmlformats.org/officeDocument/2006/relationships/hyperlink" Target="mailto:kounov@dobruska.cz" TargetMode="External"/><Relationship Id="rId212" Type="http://schemas.openxmlformats.org/officeDocument/2006/relationships/hyperlink" Target="mailto:obec@oustarehrady.cz" TargetMode="External"/><Relationship Id="rId657" Type="http://schemas.openxmlformats.org/officeDocument/2006/relationships/hyperlink" Target="http://www.kacakovalhota.e-obec.cz/" TargetMode="External"/><Relationship Id="rId864" Type="http://schemas.openxmlformats.org/officeDocument/2006/relationships/hyperlink" Target="mailto:obec@rohenice.cz" TargetMode="External"/><Relationship Id="rId296" Type="http://schemas.openxmlformats.org/officeDocument/2006/relationships/hyperlink" Target="mailto:obec.pribyslav@seznam.cz" TargetMode="External"/><Relationship Id="rId517" Type="http://schemas.openxmlformats.org/officeDocument/2006/relationships/hyperlink" Target="http://www.brezina-obec.cz/" TargetMode="External"/><Relationship Id="rId724" Type="http://schemas.openxmlformats.org/officeDocument/2006/relationships/hyperlink" Target="mailto:litobor@seznam.cz" TargetMode="External"/><Relationship Id="rId931" Type="http://schemas.openxmlformats.org/officeDocument/2006/relationships/hyperlink" Target="http://www.strezetice.cz/" TargetMode="External"/><Relationship Id="rId60" Type="http://schemas.openxmlformats.org/officeDocument/2006/relationships/hyperlink" Target="mailto:klamos@iol.cz" TargetMode="External"/><Relationship Id="rId156" Type="http://schemas.openxmlformats.org/officeDocument/2006/relationships/hyperlink" Target="mailto:bradlovaz@seznam.cz" TargetMode="External"/><Relationship Id="rId363" Type="http://schemas.openxmlformats.org/officeDocument/2006/relationships/hyperlink" Target="mailto:obec.novaves@seznam.cz" TargetMode="External"/><Relationship Id="rId570" Type="http://schemas.openxmlformats.org/officeDocument/2006/relationships/hyperlink" Target="http://www.dolnibrusnice.cz/" TargetMode="External"/><Relationship Id="rId1007" Type="http://schemas.openxmlformats.org/officeDocument/2006/relationships/hyperlink" Target="http://www.vitezna.cz/" TargetMode="External"/><Relationship Id="rId223" Type="http://schemas.openxmlformats.org/officeDocument/2006/relationships/hyperlink" Target="mailto:info@udrnice.cz" TargetMode="External"/><Relationship Id="rId430" Type="http://schemas.openxmlformats.org/officeDocument/2006/relationships/hyperlink" Target="mailto:obec.kohoutov@seznam.cz" TargetMode="External"/><Relationship Id="rId668" Type="http://schemas.openxmlformats.org/officeDocument/2006/relationships/hyperlink" Target="mailto:starosta@konecchlumi-obec.cz" TargetMode="External"/><Relationship Id="rId875" Type="http://schemas.openxmlformats.org/officeDocument/2006/relationships/hyperlink" Target="http://www.obec.rybna.cz/" TargetMode="External"/><Relationship Id="rId1060" Type="http://schemas.openxmlformats.org/officeDocument/2006/relationships/hyperlink" Target="mailto:ou@staresmrkovice.cz" TargetMode="External"/><Relationship Id="rId18" Type="http://schemas.openxmlformats.org/officeDocument/2006/relationships/hyperlink" Target="http://www.prepychy.cz/" TargetMode="External"/><Relationship Id="rId528" Type="http://schemas.openxmlformats.org/officeDocument/2006/relationships/hyperlink" Target="http://www.byzhradec.dobruska.cz/" TargetMode="External"/><Relationship Id="rId735" Type="http://schemas.openxmlformats.org/officeDocument/2006/relationships/hyperlink" Target="http://www.luzany.cz/" TargetMode="External"/><Relationship Id="rId942" Type="http://schemas.openxmlformats.org/officeDocument/2006/relationships/hyperlink" Target="http://www.musvoboda.cz/" TargetMode="External"/><Relationship Id="rId167" Type="http://schemas.openxmlformats.org/officeDocument/2006/relationships/hyperlink" Target="mailto:oukbelnice@seznam.cz" TargetMode="External"/><Relationship Id="rId374" Type="http://schemas.openxmlformats.org/officeDocument/2006/relationships/hyperlink" Target="mailto:starosta@potstejn.cz" TargetMode="External"/><Relationship Id="rId581" Type="http://schemas.openxmlformats.org/officeDocument/2006/relationships/hyperlink" Target="mailto:obec.doubravice@telecom.cz" TargetMode="External"/><Relationship Id="rId1018" Type="http://schemas.openxmlformats.org/officeDocument/2006/relationships/hyperlink" Target="http://www.muvrchlabi.cz/" TargetMode="External"/><Relationship Id="rId71" Type="http://schemas.openxmlformats.org/officeDocument/2006/relationships/hyperlink" Target="mailto:jaroslava.slavikova@libcany.cz" TargetMode="External"/><Relationship Id="rId234" Type="http://schemas.openxmlformats.org/officeDocument/2006/relationships/hyperlink" Target="mailto:obec.vresnik@c-box.cz" TargetMode="External"/><Relationship Id="rId637" Type="http://schemas.openxmlformats.org/officeDocument/2006/relationships/hyperlink" Target="mailto:obec.chvalec@tiscali.cz" TargetMode="External"/><Relationship Id="rId679" Type="http://schemas.openxmlformats.org/officeDocument/2006/relationships/hyperlink" Target="http://www.kozojedy.com/" TargetMode="External"/><Relationship Id="rId802" Type="http://schemas.openxmlformats.org/officeDocument/2006/relationships/hyperlink" Target="http://www.novy-hradek.cz/" TargetMode="External"/><Relationship Id="rId844" Type="http://schemas.openxmlformats.org/officeDocument/2006/relationships/hyperlink" Target="http://www.polom.cz/" TargetMode="External"/><Relationship Id="rId886" Type="http://schemas.openxmlformats.org/officeDocument/2006/relationships/hyperlink" Target="http://www.sekerice.cz/" TargetMode="External"/><Relationship Id="rId2" Type="http://schemas.openxmlformats.org/officeDocument/2006/relationships/hyperlink" Target="mailto:posta@obecmokre.cz" TargetMode="External"/><Relationship Id="rId29" Type="http://schemas.openxmlformats.org/officeDocument/2006/relationships/hyperlink" Target="mailto:mesto@chlumecnc.cz" TargetMode="External"/><Relationship Id="rId276" Type="http://schemas.openxmlformats.org/officeDocument/2006/relationships/hyperlink" Target="mailto:obec.jetrichov@tiscali.cz" TargetMode="External"/><Relationship Id="rId441" Type="http://schemas.openxmlformats.org/officeDocument/2006/relationships/hyperlink" Target="mailto:starosta@mestysmladebuky.cz" TargetMode="External"/><Relationship Id="rId483" Type="http://schemas.openxmlformats.org/officeDocument/2006/relationships/hyperlink" Target="mailto:podatelna@obecbernartice.cz" TargetMode="External"/><Relationship Id="rId539" Type="http://schemas.openxmlformats.org/officeDocument/2006/relationships/hyperlink" Target="http://www.cernozice.cz/" TargetMode="External"/><Relationship Id="rId690" Type="http://schemas.openxmlformats.org/officeDocument/2006/relationships/hyperlink" Target="mailto:podatelna@obec-kvasiny.cz" TargetMode="External"/><Relationship Id="rId704" Type="http://schemas.openxmlformats.org/officeDocument/2006/relationships/hyperlink" Target="mailto:obec@libcany.cz;%20obec.libcany@worldonline.cz" TargetMode="External"/><Relationship Id="rId746" Type="http://schemas.openxmlformats.org/officeDocument/2006/relationships/hyperlink" Target="mailto:lubos.tyls@mu.rokytnice.cz" TargetMode="External"/><Relationship Id="rId911" Type="http://schemas.openxmlformats.org/officeDocument/2006/relationships/hyperlink" Target="http://www.sobotka.cz/" TargetMode="External"/><Relationship Id="rId40" Type="http://schemas.openxmlformats.org/officeDocument/2006/relationships/hyperlink" Target="mailto:starosta@blesno.cz" TargetMode="External"/><Relationship Id="rId136" Type="http://schemas.openxmlformats.org/officeDocument/2006/relationships/hyperlink" Target="mailto:obec@bechary.cz" TargetMode="External"/><Relationship Id="rId178" Type="http://schemas.openxmlformats.org/officeDocument/2006/relationships/hyperlink" Target="mailto:ou.liskovice@tiscali.cz" TargetMode="External"/><Relationship Id="rId301" Type="http://schemas.openxmlformats.org/officeDocument/2006/relationships/hyperlink" Target="mailto:info@sendraz.cz" TargetMode="External"/><Relationship Id="rId343" Type="http://schemas.openxmlformats.org/officeDocument/2006/relationships/hyperlink" Target="mailto:starosta@doudleby.cz" TargetMode="External"/><Relationship Id="rId550" Type="http://schemas.openxmlformats.org/officeDocument/2006/relationships/hyperlink" Target="http://www.ceskametuje.cz/" TargetMode="External"/><Relationship Id="rId788" Type="http://schemas.openxmlformats.org/officeDocument/2006/relationships/hyperlink" Target="http://www.nemojov.com/" TargetMode="External"/><Relationship Id="rId953" Type="http://schemas.openxmlformats.org/officeDocument/2006/relationships/hyperlink" Target="http://www.obectechlovice.cz/" TargetMode="External"/><Relationship Id="rId995" Type="http://schemas.openxmlformats.org/officeDocument/2006/relationships/hyperlink" Target="mailto:velky.trebesov@email.cz" TargetMode="External"/><Relationship Id="rId1029" Type="http://schemas.openxmlformats.org/officeDocument/2006/relationships/hyperlink" Target="http://www.vysoka-nad-labem.cz/" TargetMode="External"/><Relationship Id="rId82" Type="http://schemas.openxmlformats.org/officeDocument/2006/relationships/hyperlink" Target="mailto:ou@menik.cz" TargetMode="External"/><Relationship Id="rId203" Type="http://schemas.openxmlformats.org/officeDocument/2006/relationships/hyperlink" Target="mailto:info@obec-sber.cz" TargetMode="External"/><Relationship Id="rId385" Type="http://schemas.openxmlformats.org/officeDocument/2006/relationships/hyperlink" Target="mailto:vitezslav.kapcuk@seznam.cz" TargetMode="External"/><Relationship Id="rId592" Type="http://schemas.openxmlformats.org/officeDocument/2006/relationships/hyperlink" Target="http://www.havlovice.cz/" TargetMode="External"/><Relationship Id="rId606" Type="http://schemas.openxmlformats.org/officeDocument/2006/relationships/hyperlink" Target="mailto:obec@hornimarsov.cz" TargetMode="External"/><Relationship Id="rId648" Type="http://schemas.openxmlformats.org/officeDocument/2006/relationships/hyperlink" Target="http://www.javornice.cz/" TargetMode="External"/><Relationship Id="rId813" Type="http://schemas.openxmlformats.org/officeDocument/2006/relationships/hyperlink" Target="http://www.obecolesnice.cz/" TargetMode="External"/><Relationship Id="rId855" Type="http://schemas.openxmlformats.org/officeDocument/2006/relationships/hyperlink" Target="http://www.psanky.info/obec/" TargetMode="External"/><Relationship Id="rId1040" Type="http://schemas.openxmlformats.org/officeDocument/2006/relationships/hyperlink" Target="http://www.zamosti-blata.e-obec.cz/" TargetMode="External"/><Relationship Id="rId245" Type="http://schemas.openxmlformats.org/officeDocument/2006/relationships/hyperlink" Target="http://www.rokytnicevoh.cz/" TargetMode="External"/><Relationship Id="rId287" Type="http://schemas.openxmlformats.org/officeDocument/2006/relationships/hyperlink" Target="mailto:starostanahorany@email.cz" TargetMode="External"/><Relationship Id="rId410" Type="http://schemas.openxmlformats.org/officeDocument/2006/relationships/hyperlink" Target="mailto:miloslav.tomicek@dolnilanov.cz" TargetMode="External"/><Relationship Id="rId452" Type="http://schemas.openxmlformats.org/officeDocument/2006/relationships/hyperlink" Target="mailto:starosta@strazne.eu" TargetMode="External"/><Relationship Id="rId494" Type="http://schemas.openxmlformats.org/officeDocument/2006/relationships/hyperlink" Target="mailto:ou@bohanka.org" TargetMode="External"/><Relationship Id="rId508" Type="http://schemas.openxmlformats.org/officeDocument/2006/relationships/hyperlink" Target="http://www.borovnice.cz/" TargetMode="External"/><Relationship Id="rId715" Type="http://schemas.openxmlformats.org/officeDocument/2006/relationships/hyperlink" Target="http://www.obeclibrice.cz/" TargetMode="External"/><Relationship Id="rId897" Type="http://schemas.openxmlformats.org/officeDocument/2006/relationships/hyperlink" Target="http://www.slatiny.cz/" TargetMode="External"/><Relationship Id="rId922" Type="http://schemas.openxmlformats.org/officeDocument/2006/relationships/hyperlink" Target="http://www.staremisto.cz/" TargetMode="External"/><Relationship Id="rId105" Type="http://schemas.openxmlformats.org/officeDocument/2006/relationships/hyperlink" Target="mailto:obec@radostov.cz" TargetMode="External"/><Relationship Id="rId147" Type="http://schemas.openxmlformats.org/officeDocument/2006/relationships/hyperlink" Target="mailto:cesov@tiscali.cz" TargetMode="External"/><Relationship Id="rId312" Type="http://schemas.openxmlformats.org/officeDocument/2006/relationships/hyperlink" Target="mailto:starosta@velkajesenice.cz" TargetMode="External"/><Relationship Id="rId354" Type="http://schemas.openxmlformats.org/officeDocument/2006/relationships/hyperlink" Target="mailto:mysak.obec@email.cz" TargetMode="External"/><Relationship Id="rId757" Type="http://schemas.openxmlformats.org/officeDocument/2006/relationships/hyperlink" Target="http://www.malesvatonovice.cz/" TargetMode="External"/><Relationship Id="rId799" Type="http://schemas.openxmlformats.org/officeDocument/2006/relationships/hyperlink" Target="mailto:posta@novemestonm.cz" TargetMode="External"/><Relationship Id="rId964" Type="http://schemas.openxmlformats.org/officeDocument/2006/relationships/hyperlink" Target="http://www.trebnouseves.cz/" TargetMode="External"/><Relationship Id="rId51" Type="http://schemas.openxmlformats.org/officeDocument/2006/relationships/hyperlink" Target="mailto:ou.holohlavy@iol.cz" TargetMode="External"/><Relationship Id="rId93" Type="http://schemas.openxmlformats.org/officeDocument/2006/relationships/hyperlink" Target="mailto:urad@olesnice-nad-cidlinou.cz" TargetMode="External"/><Relationship Id="rId189" Type="http://schemas.openxmlformats.org/officeDocument/2006/relationships/hyperlink" Target="mailto:oharice@email.cz" TargetMode="External"/><Relationship Id="rId396" Type="http://schemas.openxmlformats.org/officeDocument/2006/relationships/hyperlink" Target="mailto:ivan.partl@zdobnice.com" TargetMode="External"/><Relationship Id="rId561" Type="http://schemas.openxmlformats.org/officeDocument/2006/relationships/hyperlink" Target="http://www.obecdobre.cz/" TargetMode="External"/><Relationship Id="rId617" Type="http://schemas.openxmlformats.org/officeDocument/2006/relationships/hyperlink" Target="http://www.hostinne.info/" TargetMode="External"/><Relationship Id="rId659" Type="http://schemas.openxmlformats.org/officeDocument/2006/relationships/hyperlink" Target="http://www.obeckbelnice.cz/" TargetMode="External"/><Relationship Id="rId824" Type="http://schemas.openxmlformats.org/officeDocument/2006/relationships/hyperlink" Target="http://www.ostruzno.cz/" TargetMode="External"/><Relationship Id="rId866" Type="http://schemas.openxmlformats.org/officeDocument/2006/relationships/hyperlink" Target="mailto:ou.rohoznice@seznam.cz" TargetMode="External"/><Relationship Id="rId214" Type="http://schemas.openxmlformats.org/officeDocument/2006/relationships/hyperlink" Target="mailto:strevac@seznam.cz" TargetMode="External"/><Relationship Id="rId256" Type="http://schemas.openxmlformats.org/officeDocument/2006/relationships/hyperlink" Target="mailto:obeccerncice@seznam.cz" TargetMode="External"/><Relationship Id="rId298" Type="http://schemas.openxmlformats.org/officeDocument/2006/relationships/hyperlink" Target="mailto:obec@obecroznov.cz" TargetMode="External"/><Relationship Id="rId421" Type="http://schemas.openxmlformats.org/officeDocument/2006/relationships/hyperlink" Target="mailto:obec@horniolesnice.cz" TargetMode="External"/><Relationship Id="rId463" Type="http://schemas.openxmlformats.org/officeDocument/2006/relationships/hyperlink" Target="mailto:starosta@ou-vlcice.cz" TargetMode="External"/><Relationship Id="rId519" Type="http://schemas.openxmlformats.org/officeDocument/2006/relationships/hyperlink" Target="http://www.budceves.cz/" TargetMode="External"/><Relationship Id="rId670" Type="http://schemas.openxmlformats.org/officeDocument/2006/relationships/hyperlink" Target="http://www.kopidlno.cz/" TargetMode="External"/><Relationship Id="rId1051" Type="http://schemas.openxmlformats.org/officeDocument/2006/relationships/hyperlink" Target="http://www.zacler.cz/" TargetMode="External"/><Relationship Id="rId116" Type="http://schemas.openxmlformats.org/officeDocument/2006/relationships/hyperlink" Target="mailto:obec@stezery.cz" TargetMode="External"/><Relationship Id="rId158" Type="http://schemas.openxmlformats.org/officeDocument/2006/relationships/hyperlink" Target="mailto:starosta@chomutice.cz" TargetMode="External"/><Relationship Id="rId323" Type="http://schemas.openxmlformats.org/officeDocument/2006/relationships/hyperlink" Target="mailto:obec.zdarky@quick.cz" TargetMode="External"/><Relationship Id="rId530" Type="http://schemas.openxmlformats.org/officeDocument/2006/relationships/hyperlink" Target="http://www.cerekvice.cz/" TargetMode="External"/><Relationship Id="rId726" Type="http://schemas.openxmlformats.org/officeDocument/2006/relationships/hyperlink" Target="http://www.lodin.cz/" TargetMode="External"/><Relationship Id="rId768" Type="http://schemas.openxmlformats.org/officeDocument/2006/relationships/hyperlink" Target="http://www.miletin.cz/" TargetMode="External"/><Relationship Id="rId933" Type="http://schemas.openxmlformats.org/officeDocument/2006/relationships/hyperlink" Target="http://www.obecstudnicena.cz/" TargetMode="External"/><Relationship Id="rId975" Type="http://schemas.openxmlformats.org/officeDocument/2006/relationships/hyperlink" Target="http://www.ujezdpodtroskami.e-obec.cz/" TargetMode="External"/><Relationship Id="rId1009" Type="http://schemas.openxmlformats.org/officeDocument/2006/relationships/hyperlink" Target="mailto:podatelna@ou-vlcice.cz" TargetMode="External"/><Relationship Id="rId20" Type="http://schemas.openxmlformats.org/officeDocument/2006/relationships/hyperlink" Target="mailto:starosta@chotevice.cz" TargetMode="External"/><Relationship Id="rId62" Type="http://schemas.openxmlformats.org/officeDocument/2006/relationships/hyperlink" Target="mailto:obec@kosice.cz" TargetMode="External"/><Relationship Id="rId365" Type="http://schemas.openxmlformats.org/officeDocument/2006/relationships/hyperlink" Target="mailto:ohnisov@wo.cz" TargetMode="External"/><Relationship Id="rId572" Type="http://schemas.openxmlformats.org/officeDocument/2006/relationships/hyperlink" Target="mailto:obec@dolnikalna.cz" TargetMode="External"/><Relationship Id="rId628" Type="http://schemas.openxmlformats.org/officeDocument/2006/relationships/hyperlink" Target="http://www.obec-hyncice.cz/" TargetMode="External"/><Relationship Id="rId835" Type="http://schemas.openxmlformats.org/officeDocument/2006/relationships/hyperlink" Target="http://www.obec-pisek.cz/" TargetMode="External"/><Relationship Id="rId225" Type="http://schemas.openxmlformats.org/officeDocument/2006/relationships/hyperlink" Target="mailto:ujezd@craj.cz" TargetMode="External"/><Relationship Id="rId267" Type="http://schemas.openxmlformats.org/officeDocument/2006/relationships/hyperlink" Target="mailto:posta@obechr.com" TargetMode="External"/><Relationship Id="rId432" Type="http://schemas.openxmlformats.org/officeDocument/2006/relationships/hyperlink" Target="mailto:lampertice@volny.cz" TargetMode="External"/><Relationship Id="rId474" Type="http://schemas.openxmlformats.org/officeDocument/2006/relationships/hyperlink" Target="http://www.bacetin.cz/" TargetMode="External"/><Relationship Id="rId877" Type="http://schemas.openxmlformats.org/officeDocument/2006/relationships/hyperlink" Target="http://www.rychnov-city.cz/" TargetMode="External"/><Relationship Id="rId1020" Type="http://schemas.openxmlformats.org/officeDocument/2006/relationships/hyperlink" Target="mailto:vrchovnice@tiscali.cz" TargetMode="External"/><Relationship Id="rId1062" Type="http://schemas.openxmlformats.org/officeDocument/2006/relationships/hyperlink" Target="mailto:starosta@velkesvatonovice.cz" TargetMode="External"/><Relationship Id="rId127" Type="http://schemas.openxmlformats.org/officeDocument/2006/relationships/hyperlink" Target="mailto:starosta@vrchovnice.cz" TargetMode="External"/><Relationship Id="rId681" Type="http://schemas.openxmlformats.org/officeDocument/2006/relationships/hyperlink" Target="http://www.kralovalhota.cz/" TargetMode="External"/><Relationship Id="rId737" Type="http://schemas.openxmlformats.org/officeDocument/2006/relationships/hyperlink" Target="mailto:obec.luzec@quick.cz" TargetMode="External"/><Relationship Id="rId779" Type="http://schemas.openxmlformats.org/officeDocument/2006/relationships/hyperlink" Target="mailto:info@mostek.cz" TargetMode="External"/><Relationship Id="rId902" Type="http://schemas.openxmlformats.org/officeDocument/2006/relationships/hyperlink" Target="mailto:podatelna@smidary.cz" TargetMode="External"/><Relationship Id="rId944" Type="http://schemas.openxmlformats.org/officeDocument/2006/relationships/hyperlink" Target="http://www.synkov-slemeno.cz/" TargetMode="External"/><Relationship Id="rId986" Type="http://schemas.openxmlformats.org/officeDocument/2006/relationships/hyperlink" Target="http://www.obecvelichovky.cz/" TargetMode="External"/><Relationship Id="rId31" Type="http://schemas.openxmlformats.org/officeDocument/2006/relationships/hyperlink" Target="mailto:subr@lazne-belohrad.cz" TargetMode="External"/><Relationship Id="rId73" Type="http://schemas.openxmlformats.org/officeDocument/2006/relationships/hyperlink" Target="mailto:oulibrantice@volny.cz" TargetMode="External"/><Relationship Id="rId169" Type="http://schemas.openxmlformats.org/officeDocument/2006/relationships/hyperlink" Target="mailto:ou@konecchlumi-obec.cz" TargetMode="External"/><Relationship Id="rId334" Type="http://schemas.openxmlformats.org/officeDocument/2006/relationships/hyperlink" Target="mailto:joska.cermna@gmail.com" TargetMode="External"/><Relationship Id="rId376" Type="http://schemas.openxmlformats.org/officeDocument/2006/relationships/hyperlink" Target="mailto:jan.skorepa@rychnov-city.cz" TargetMode="External"/><Relationship Id="rId541" Type="http://schemas.openxmlformats.org/officeDocument/2006/relationships/hyperlink" Target="http://www.cernydul.cz/" TargetMode="External"/><Relationship Id="rId583" Type="http://schemas.openxmlformats.org/officeDocument/2006/relationships/hyperlink" Target="http://www.doudleby.cz/" TargetMode="External"/><Relationship Id="rId639" Type="http://schemas.openxmlformats.org/officeDocument/2006/relationships/hyperlink" Target="http://www.chvalkovice.cz/" TargetMode="External"/><Relationship Id="rId790" Type="http://schemas.openxmlformats.org/officeDocument/2006/relationships/hyperlink" Target="mailto:starosta.nepolisy@volny.cz" TargetMode="External"/><Relationship Id="rId804" Type="http://schemas.openxmlformats.org/officeDocument/2006/relationships/hyperlink" Target="http://www.novyples.cz/" TargetMode="External"/><Relationship Id="rId4" Type="http://schemas.openxmlformats.org/officeDocument/2006/relationships/hyperlink" Target="mailto:zdenka.seidelova@prepychy.cz" TargetMode="External"/><Relationship Id="rId180" Type="http://schemas.openxmlformats.org/officeDocument/2006/relationships/hyperlink" Target="mailto:urad@luzany.cz" TargetMode="External"/><Relationship Id="rId236" Type="http://schemas.openxmlformats.org/officeDocument/2006/relationships/hyperlink" Target="mailto:mu@zeleznice.net" TargetMode="External"/><Relationship Id="rId278" Type="http://schemas.openxmlformats.org/officeDocument/2006/relationships/hyperlink" Target="mailto:krinice@tiscali.cz" TargetMode="External"/><Relationship Id="rId401" Type="http://schemas.openxmlformats.org/officeDocument/2006/relationships/hyperlink" Target="mailto:starosta@bilepolicany.cz" TargetMode="External"/><Relationship Id="rId443" Type="http://schemas.openxmlformats.org/officeDocument/2006/relationships/hyperlink" Target="mailto:penicka@nemojov.com" TargetMode="External"/><Relationship Id="rId650" Type="http://schemas.openxmlformats.org/officeDocument/2006/relationships/hyperlink" Target="http://www.jestrebinadmetuji.cz/" TargetMode="External"/><Relationship Id="rId846" Type="http://schemas.openxmlformats.org/officeDocument/2006/relationships/hyperlink" Target="http://www.potstejn.cz/" TargetMode="External"/><Relationship Id="rId888" Type="http://schemas.openxmlformats.org/officeDocument/2006/relationships/hyperlink" Target="http://www.sendraz.cz/" TargetMode="External"/><Relationship Id="rId1031" Type="http://schemas.openxmlformats.org/officeDocument/2006/relationships/hyperlink" Target="http://www.vysokeveseli.cz/" TargetMode="External"/><Relationship Id="rId303" Type="http://schemas.openxmlformats.org/officeDocument/2006/relationships/hyperlink" Target="mailto:urad@slavetinnadmetuji.cz" TargetMode="External"/><Relationship Id="rId485" Type="http://schemas.openxmlformats.org/officeDocument/2006/relationships/hyperlink" Target="mailto:starosta@bezdekov.org" TargetMode="External"/><Relationship Id="rId692" Type="http://schemas.openxmlformats.org/officeDocument/2006/relationships/hyperlink" Target="http://www.kyje.webz.cz/" TargetMode="External"/><Relationship Id="rId706" Type="http://schemas.openxmlformats.org/officeDocument/2006/relationships/hyperlink" Target="http://www.oulibel.cz/" TargetMode="External"/><Relationship Id="rId748" Type="http://schemas.openxmlformats.org/officeDocument/2006/relationships/hyperlink" Target="mailto:starosta@chotevice.cz" TargetMode="External"/><Relationship Id="rId913" Type="http://schemas.openxmlformats.org/officeDocument/2006/relationships/hyperlink" Target="http://www.sovetice.cz/" TargetMode="External"/><Relationship Id="rId955" Type="http://schemas.openxmlformats.org/officeDocument/2006/relationships/hyperlink" Target="http://www.teplicenadmetuji.cz/" TargetMode="External"/><Relationship Id="rId42" Type="http://schemas.openxmlformats.org/officeDocument/2006/relationships/hyperlink" Target="mailto:starosta@cernilov.cz" TargetMode="External"/><Relationship Id="rId84" Type="http://schemas.openxmlformats.org/officeDocument/2006/relationships/hyperlink" Target="mailto:sobotkajan@muvrchlabi.cz" TargetMode="External"/><Relationship Id="rId138" Type="http://schemas.openxmlformats.org/officeDocument/2006/relationships/hyperlink" Target="mailto:milan.heligr@quick.cz" TargetMode="External"/><Relationship Id="rId345" Type="http://schemas.openxmlformats.org/officeDocument/2006/relationships/hyperlink" Target="mailto:obecchleny@tiscali.cz" TargetMode="External"/><Relationship Id="rId387" Type="http://schemas.openxmlformats.org/officeDocument/2006/relationships/hyperlink" Target="mailto:obec@trebesov.cz" TargetMode="External"/><Relationship Id="rId510" Type="http://schemas.openxmlformats.org/officeDocument/2006/relationships/hyperlink" Target="mailto:podatelna@obecbozanov.cz" TargetMode="External"/><Relationship Id="rId552" Type="http://schemas.openxmlformats.org/officeDocument/2006/relationships/hyperlink" Target="http://www.ceskemezirici.cz/" TargetMode="External"/><Relationship Id="rId594" Type="http://schemas.openxmlformats.org/officeDocument/2006/relationships/hyperlink" Target="http://www.hejtmankovice.cz/" TargetMode="External"/><Relationship Id="rId608" Type="http://schemas.openxmlformats.org/officeDocument/2006/relationships/hyperlink" Target="http://www.horniolesnice.cz/" TargetMode="External"/><Relationship Id="rId815" Type="http://schemas.openxmlformats.org/officeDocument/2006/relationships/hyperlink" Target="mailto:info@mu.opocno.cz" TargetMode="External"/><Relationship Id="rId997" Type="http://schemas.openxmlformats.org/officeDocument/2006/relationships/hyperlink" Target="mailto:epodatelna@velkyvrestov.cz" TargetMode="External"/><Relationship Id="rId191" Type="http://schemas.openxmlformats.org/officeDocument/2006/relationships/hyperlink" Target="mailto:ou@ostromer.cz" TargetMode="External"/><Relationship Id="rId205" Type="http://schemas.openxmlformats.org/officeDocument/2006/relationships/hyperlink" Target="mailto:pesvladimir@tiscali.cz" TargetMode="External"/><Relationship Id="rId247" Type="http://schemas.openxmlformats.org/officeDocument/2006/relationships/hyperlink" Target="mailto:petr.hudousek@mu.rokytnice.cz" TargetMode="External"/><Relationship Id="rId412" Type="http://schemas.openxmlformats.org/officeDocument/2006/relationships/hyperlink" Target="mailto:starosta@dubenec.cz" TargetMode="External"/><Relationship Id="rId857" Type="http://schemas.openxmlformats.org/officeDocument/2006/relationships/hyperlink" Target="http://www.racicenadtrotinou.cz/" TargetMode="External"/><Relationship Id="rId899" Type="http://schemas.openxmlformats.org/officeDocument/2006/relationships/hyperlink" Target="http://www.slavhostice.cz/" TargetMode="External"/><Relationship Id="rId1000" Type="http://schemas.openxmlformats.org/officeDocument/2006/relationships/hyperlink" Target="mailto:starosta@obecvestec.eu" TargetMode="External"/><Relationship Id="rId1042" Type="http://schemas.openxmlformats.org/officeDocument/2006/relationships/hyperlink" Target="http://www.zdelov.cz/" TargetMode="External"/><Relationship Id="rId107" Type="http://schemas.openxmlformats.org/officeDocument/2006/relationships/hyperlink" Target="mailto:ou@sendrazice.cz" TargetMode="External"/><Relationship Id="rId289" Type="http://schemas.openxmlformats.org/officeDocument/2006/relationships/hyperlink" Target="mailto:hable@novemestonm.cz" TargetMode="External"/><Relationship Id="rId454" Type="http://schemas.openxmlformats.org/officeDocument/2006/relationships/hyperlink" Target="mailto:starosta@musvoboda.cz" TargetMode="External"/><Relationship Id="rId496" Type="http://schemas.openxmlformats.org/officeDocument/2006/relationships/hyperlink" Target="http://www.boharyne.cz/" TargetMode="External"/><Relationship Id="rId661" Type="http://schemas.openxmlformats.org/officeDocument/2006/relationships/hyperlink" Target="http://www.klasterskalhota.cz/" TargetMode="External"/><Relationship Id="rId717" Type="http://schemas.openxmlformats.org/officeDocument/2006/relationships/hyperlink" Target="http://www.libun.cz/" TargetMode="External"/><Relationship Id="rId759" Type="http://schemas.openxmlformats.org/officeDocument/2006/relationships/hyperlink" Target="http://www.markvarticejc.cz/" TargetMode="External"/><Relationship Id="rId924" Type="http://schemas.openxmlformats.org/officeDocument/2006/relationships/hyperlink" Target="http://www.starkov.cz/" TargetMode="External"/><Relationship Id="rId966" Type="http://schemas.openxmlformats.org/officeDocument/2006/relationships/hyperlink" Target="http://www.trtenice.cz/" TargetMode="External"/><Relationship Id="rId11" Type="http://schemas.openxmlformats.org/officeDocument/2006/relationships/hyperlink" Target="mailto:starosta@sovetice.cz" TargetMode="External"/><Relationship Id="rId53" Type="http://schemas.openxmlformats.org/officeDocument/2006/relationships/hyperlink" Target="mailto:primator@mmhk.cz" TargetMode="External"/><Relationship Id="rId149" Type="http://schemas.openxmlformats.org/officeDocument/2006/relationships/hyperlink" Target="mailto:ivan.lev@seznam.cz" TargetMode="External"/><Relationship Id="rId314" Type="http://schemas.openxmlformats.org/officeDocument/2006/relationships/hyperlink" Target="mailto:kral@velkeporici.cz" TargetMode="External"/><Relationship Id="rId356" Type="http://schemas.openxmlformats.org/officeDocument/2006/relationships/hyperlink" Target="mailto:oulhoty@centrum.cz" TargetMode="External"/><Relationship Id="rId398" Type="http://schemas.openxmlformats.org/officeDocument/2006/relationships/hyperlink" Target="mailto:obec@batnovice.cz" TargetMode="External"/><Relationship Id="rId521" Type="http://schemas.openxmlformats.org/officeDocument/2006/relationships/hyperlink" Target="http://www.obecbukovice.cz/" TargetMode="External"/><Relationship Id="rId563" Type="http://schemas.openxmlformats.org/officeDocument/2006/relationships/hyperlink" Target="http://www.mestodobruska.cz/" TargetMode="External"/><Relationship Id="rId619" Type="http://schemas.openxmlformats.org/officeDocument/2006/relationships/hyperlink" Target="http://www.hradeckralove.org/" TargetMode="External"/><Relationship Id="rId770" Type="http://schemas.openxmlformats.org/officeDocument/2006/relationships/hyperlink" Target="http://www.miloviceuhoric.cz/" TargetMode="External"/><Relationship Id="rId95" Type="http://schemas.openxmlformats.org/officeDocument/2006/relationships/hyperlink" Target="mailto:obec@osicky.cz" TargetMode="External"/><Relationship Id="rId160" Type="http://schemas.openxmlformats.org/officeDocument/2006/relationships/hyperlink" Target="mailto:chyjice@atlas.cz" TargetMode="External"/><Relationship Id="rId216" Type="http://schemas.openxmlformats.org/officeDocument/2006/relationships/hyperlink" Target="mailto:svatojansky.ujezd@tiscali.cz" TargetMode="External"/><Relationship Id="rId423" Type="http://schemas.openxmlformats.org/officeDocument/2006/relationships/hyperlink" Target="mailto:starosta@hribojedy.cz" TargetMode="External"/><Relationship Id="rId826" Type="http://schemas.openxmlformats.org/officeDocument/2006/relationships/hyperlink" Target="mailto:podatelna@pecpodsnezkou.cz" TargetMode="External"/><Relationship Id="rId868" Type="http://schemas.openxmlformats.org/officeDocument/2006/relationships/hyperlink" Target="http://www.rokytnany.e-obec.cz/" TargetMode="External"/><Relationship Id="rId1011" Type="http://schemas.openxmlformats.org/officeDocument/2006/relationships/hyperlink" Target="mailto:starosta@vlckovice.cz;%20podatelna@vlckovice.cz" TargetMode="External"/><Relationship Id="rId1053" Type="http://schemas.openxmlformats.org/officeDocument/2006/relationships/hyperlink" Target="http://www.obeczdarky.cz/" TargetMode="External"/><Relationship Id="rId258" Type="http://schemas.openxmlformats.org/officeDocument/2006/relationships/hyperlink" Target="mailto:rostislav.petrak@mestock.cz" TargetMode="External"/><Relationship Id="rId465" Type="http://schemas.openxmlformats.org/officeDocument/2006/relationships/hyperlink" Target="mailto:starosta@zabrezi-recice.cz" TargetMode="External"/><Relationship Id="rId630" Type="http://schemas.openxmlformats.org/officeDocument/2006/relationships/hyperlink" Target="http://www.chlistov.unas.cz/" TargetMode="External"/><Relationship Id="rId672" Type="http://schemas.openxmlformats.org/officeDocument/2006/relationships/hyperlink" Target="http://www.kostelec-jc.cz/" TargetMode="External"/><Relationship Id="rId728" Type="http://schemas.openxmlformats.org/officeDocument/2006/relationships/hyperlink" Target="http://www.lovcice.eu/" TargetMode="External"/><Relationship Id="rId935" Type="http://schemas.openxmlformats.org/officeDocument/2006/relationships/hyperlink" Target="http://www.suchovrsice.cz/" TargetMode="External"/><Relationship Id="rId22" Type="http://schemas.openxmlformats.org/officeDocument/2006/relationships/hyperlink" Target="mailto:obec.chotevice@tiscali.cz" TargetMode="External"/><Relationship Id="rId64" Type="http://schemas.openxmlformats.org/officeDocument/2006/relationships/hyperlink" Target="mailto:ou.kraliky@tiscali.cz" TargetMode="External"/><Relationship Id="rId118" Type="http://schemas.openxmlformats.org/officeDocument/2006/relationships/hyperlink" Target="mailto:obec@strezetice.cz" TargetMode="External"/><Relationship Id="rId325" Type="http://schemas.openxmlformats.org/officeDocument/2006/relationships/hyperlink" Target="mailto:ou@bacetin.cz" TargetMode="External"/><Relationship Id="rId367" Type="http://schemas.openxmlformats.org/officeDocument/2006/relationships/hyperlink" Target="mailto:obecniurad@olesnice.net" TargetMode="External"/><Relationship Id="rId532" Type="http://schemas.openxmlformats.org/officeDocument/2006/relationships/hyperlink" Target="http://www.ou-castolovice.cz/" TargetMode="External"/><Relationship Id="rId574" Type="http://schemas.openxmlformats.org/officeDocument/2006/relationships/hyperlink" Target="mailto:ou@dolnilanov.cz" TargetMode="External"/><Relationship Id="rId977" Type="http://schemas.openxmlformats.org/officeDocument/2006/relationships/hyperlink" Target="http://www.ulibice.cz/" TargetMode="External"/><Relationship Id="rId171" Type="http://schemas.openxmlformats.org/officeDocument/2006/relationships/hyperlink" Target="mailto:ou@kostelec-jc.cz" TargetMode="External"/><Relationship Id="rId227" Type="http://schemas.openxmlformats.org/officeDocument/2006/relationships/hyperlink" Target="mailto:starosta@valdice.cz" TargetMode="External"/><Relationship Id="rId781" Type="http://schemas.openxmlformats.org/officeDocument/2006/relationships/hyperlink" Target="http://www.mzany.cz/" TargetMode="External"/><Relationship Id="rId837" Type="http://schemas.openxmlformats.org/officeDocument/2006/relationships/hyperlink" Target="http://www.podbrezi.cz/" TargetMode="External"/><Relationship Id="rId879" Type="http://schemas.openxmlformats.org/officeDocument/2006/relationships/hyperlink" Target="http://www.obecricky.cz/" TargetMode="External"/><Relationship Id="rId1022" Type="http://schemas.openxmlformats.org/officeDocument/2006/relationships/hyperlink" Target="http://www.vrsce.cz/" TargetMode="External"/><Relationship Id="rId269" Type="http://schemas.openxmlformats.org/officeDocument/2006/relationships/hyperlink" Target="mailto:horicky@horicky.cz" TargetMode="External"/><Relationship Id="rId434" Type="http://schemas.openxmlformats.org/officeDocument/2006/relationships/hyperlink" Target="mailto:lanzov@volny.cz" TargetMode="External"/><Relationship Id="rId476" Type="http://schemas.openxmlformats.org/officeDocument/2006/relationships/hyperlink" Target="http://www.obec-basnice.cz/" TargetMode="External"/><Relationship Id="rId641" Type="http://schemas.openxmlformats.org/officeDocument/2006/relationships/hyperlink" Target="http://www.janovobec.cz/" TargetMode="External"/><Relationship Id="rId683" Type="http://schemas.openxmlformats.org/officeDocument/2006/relationships/hyperlink" Target="http://www.kramolna.cz/" TargetMode="External"/><Relationship Id="rId739" Type="http://schemas.openxmlformats.org/officeDocument/2006/relationships/hyperlink" Target="mailto:ou.machov@worldonline.cz;%20machov-obec@machov-obec.cz" TargetMode="External"/><Relationship Id="rId890" Type="http://schemas.openxmlformats.org/officeDocument/2006/relationships/hyperlink" Target="http://www.skalice.info/" TargetMode="External"/><Relationship Id="rId904" Type="http://schemas.openxmlformats.org/officeDocument/2006/relationships/hyperlink" Target="mailto:podatelna@smirice.cz;%20epodatelna@mestosmirice.cz" TargetMode="External"/><Relationship Id="rId1064" Type="http://schemas.openxmlformats.org/officeDocument/2006/relationships/vmlDrawing" Target="../drawings/vmlDrawing1.vml"/><Relationship Id="rId33" Type="http://schemas.openxmlformats.org/officeDocument/2006/relationships/hyperlink" Target="mailto:obec@zdarnadmetuji.cz" TargetMode="External"/><Relationship Id="rId129" Type="http://schemas.openxmlformats.org/officeDocument/2006/relationships/hyperlink" Target="mailto:obec.vyrava@tiscali.cz" TargetMode="External"/><Relationship Id="rId280" Type="http://schemas.openxmlformats.org/officeDocument/2006/relationships/hyperlink" Target="mailto:vlcek@zddolany.cz" TargetMode="External"/><Relationship Id="rId336" Type="http://schemas.openxmlformats.org/officeDocument/2006/relationships/hyperlink" Target="mailto:c.mezirici@tiscali.cz" TargetMode="External"/><Relationship Id="rId501" Type="http://schemas.openxmlformats.org/officeDocument/2006/relationships/hyperlink" Target="http://www.bolehost.cz/" TargetMode="External"/><Relationship Id="rId543" Type="http://schemas.openxmlformats.org/officeDocument/2006/relationships/hyperlink" Target="http://www.cervenahora.cz/" TargetMode="External"/><Relationship Id="rId946" Type="http://schemas.openxmlformats.org/officeDocument/2006/relationships/hyperlink" Target="http://www.saplava.cz/" TargetMode="External"/><Relationship Id="rId988" Type="http://schemas.openxmlformats.org/officeDocument/2006/relationships/hyperlink" Target="mailto:info@velkajesenice.cz" TargetMode="External"/><Relationship Id="rId75" Type="http://schemas.openxmlformats.org/officeDocument/2006/relationships/hyperlink" Target="mailto:ou.lisice@seznam.cz" TargetMode="External"/><Relationship Id="rId140" Type="http://schemas.openxmlformats.org/officeDocument/2006/relationships/hyperlink" Target="mailto:obec@brada-rybnicek.cz" TargetMode="External"/><Relationship Id="rId182" Type="http://schemas.openxmlformats.org/officeDocument/2006/relationships/hyperlink" Target="mailto:nosek@miletin.cz" TargetMode="External"/><Relationship Id="rId378" Type="http://schemas.openxmlformats.org/officeDocument/2006/relationships/hyperlink" Target="mailto:obec@sedlonov.cz" TargetMode="External"/><Relationship Id="rId403" Type="http://schemas.openxmlformats.org/officeDocument/2006/relationships/hyperlink" Target="mailto:obec.borovnicka@tiscali.cz" TargetMode="External"/><Relationship Id="rId585" Type="http://schemas.openxmlformats.org/officeDocument/2006/relationships/hyperlink" Target="mailto:dubenec@dubenec.cz" TargetMode="External"/><Relationship Id="rId750" Type="http://schemas.openxmlformats.org/officeDocument/2006/relationships/hyperlink" Target="mailto:zivr@lazne-belohrad.cz" TargetMode="External"/><Relationship Id="rId792" Type="http://schemas.openxmlformats.org/officeDocument/2006/relationships/hyperlink" Target="http://www.nepolisy.cz/" TargetMode="External"/><Relationship Id="rId806" Type="http://schemas.openxmlformats.org/officeDocument/2006/relationships/hyperlink" Target="http://www.ocelice.trebechovicko.cz/" TargetMode="External"/><Relationship Id="rId848" Type="http://schemas.openxmlformats.org/officeDocument/2006/relationships/hyperlink" Target="mailto:praskacka@praskacka.cz" TargetMode="External"/><Relationship Id="rId1033" Type="http://schemas.openxmlformats.org/officeDocument/2006/relationships/hyperlink" Target="http://www.ou-vysokyujezd.cz/" TargetMode="External"/><Relationship Id="rId6" Type="http://schemas.openxmlformats.org/officeDocument/2006/relationships/hyperlink" Target="mailto:ou.kuks@mkinet.cz" TargetMode="External"/><Relationship Id="rId238" Type="http://schemas.openxmlformats.org/officeDocument/2006/relationships/hyperlink" Target="mailto:zidovice@centrum.cz" TargetMode="External"/><Relationship Id="rId445" Type="http://schemas.openxmlformats.org/officeDocument/2006/relationships/hyperlink" Target="mailto:starosta@pilnikov.cz" TargetMode="External"/><Relationship Id="rId487" Type="http://schemas.openxmlformats.org/officeDocument/2006/relationships/hyperlink" Target="http://www.bilatremesna.cz/" TargetMode="External"/><Relationship Id="rId610" Type="http://schemas.openxmlformats.org/officeDocument/2006/relationships/hyperlink" Target="http://www.horenice.cz/" TargetMode="External"/><Relationship Id="rId652" Type="http://schemas.openxmlformats.org/officeDocument/2006/relationships/hyperlink" Target="mailto:posta@mujicin.cz" TargetMode="External"/><Relationship Id="rId694" Type="http://schemas.openxmlformats.org/officeDocument/2006/relationships/hyperlink" Target="mailto:obec@lanov.cz" TargetMode="External"/><Relationship Id="rId708" Type="http://schemas.openxmlformats.org/officeDocument/2006/relationships/hyperlink" Target="http://www.libchyne.cz/" TargetMode="External"/><Relationship Id="rId915" Type="http://schemas.openxmlformats.org/officeDocument/2006/relationships/hyperlink" Target="mailto:ou@starapaka.cz" TargetMode="External"/><Relationship Id="rId291" Type="http://schemas.openxmlformats.org/officeDocument/2006/relationships/hyperlink" Target="mailto:novy.ples@cbox.cz" TargetMode="External"/><Relationship Id="rId305" Type="http://schemas.openxmlformats.org/officeDocument/2006/relationships/hyperlink" Target="mailto:starosta@starkov.cz" TargetMode="External"/><Relationship Id="rId347" Type="http://schemas.openxmlformats.org/officeDocument/2006/relationships/hyperlink" Target="mailto:obec.jahodov@tiscali.cz" TargetMode="External"/><Relationship Id="rId512" Type="http://schemas.openxmlformats.org/officeDocument/2006/relationships/hyperlink" Target="http://www.brada-rybnicek.cz/" TargetMode="External"/><Relationship Id="rId957" Type="http://schemas.openxmlformats.org/officeDocument/2006/relationships/hyperlink" Target="http://www.trnov.cz/" TargetMode="External"/><Relationship Id="rId999" Type="http://schemas.openxmlformats.org/officeDocument/2006/relationships/hyperlink" Target="http://www.vernerovice.cz/" TargetMode="External"/><Relationship Id="rId44" Type="http://schemas.openxmlformats.org/officeDocument/2006/relationships/hyperlink" Target="mailto:obec.cisteves@seznam.cz" TargetMode="External"/><Relationship Id="rId86" Type="http://schemas.openxmlformats.org/officeDocument/2006/relationships/hyperlink" Target="mailto:ou.mzany@tiscali.cz" TargetMode="External"/><Relationship Id="rId151" Type="http://schemas.openxmlformats.org/officeDocument/2006/relationships/hyperlink" Target="mailto:dolni.lochov@gmail.com" TargetMode="External"/><Relationship Id="rId389" Type="http://schemas.openxmlformats.org/officeDocument/2006/relationships/hyperlink" Target="mailto:galbickova@tyniste.cz" TargetMode="External"/><Relationship Id="rId554" Type="http://schemas.openxmlformats.org/officeDocument/2006/relationships/hyperlink" Target="http://www.cesov-libesice.cz/" TargetMode="External"/><Relationship Id="rId596" Type="http://schemas.openxmlformats.org/officeDocument/2006/relationships/hyperlink" Target="mailto:trejbal@suprashoe.cz" TargetMode="External"/><Relationship Id="rId761" Type="http://schemas.openxmlformats.org/officeDocument/2006/relationships/hyperlink" Target="http://www.martinkovice.cz/" TargetMode="External"/><Relationship Id="rId817" Type="http://schemas.openxmlformats.org/officeDocument/2006/relationships/hyperlink" Target="http://www.osecnice.cz/" TargetMode="External"/><Relationship Id="rId859" Type="http://schemas.openxmlformats.org/officeDocument/2006/relationships/hyperlink" Target="http://www.obec-radim.cz/" TargetMode="External"/><Relationship Id="rId1002" Type="http://schemas.openxmlformats.org/officeDocument/2006/relationships/hyperlink" Target="mailto:obec@vidochov.cz&#160;" TargetMode="External"/><Relationship Id="rId193" Type="http://schemas.openxmlformats.org/officeDocument/2006/relationships/hyperlink" Target="mailto:podatelna@mestys-pecka.cz" TargetMode="External"/><Relationship Id="rId207" Type="http://schemas.openxmlformats.org/officeDocument/2006/relationships/hyperlink" Target="mailto:ou.slavhostice@seznam.cz" TargetMode="External"/><Relationship Id="rId249" Type="http://schemas.openxmlformats.org/officeDocument/2006/relationships/hyperlink" Target="mailto:obec@bezdekov.org" TargetMode="External"/><Relationship Id="rId414" Type="http://schemas.openxmlformats.org/officeDocument/2006/relationships/hyperlink" Target="mailto:jarolim.jan@mudk.cz" TargetMode="External"/><Relationship Id="rId456" Type="http://schemas.openxmlformats.org/officeDocument/2006/relationships/hyperlink" Target="mailto:trotina.urad@tiscali.cz" TargetMode="External"/><Relationship Id="rId498" Type="http://schemas.openxmlformats.org/officeDocument/2006/relationships/hyperlink" Target="http://www.bohdasin.cz/" TargetMode="External"/><Relationship Id="rId621" Type="http://schemas.openxmlformats.org/officeDocument/2006/relationships/hyperlink" Target="mailto:mestohronov@mestohronov.cz" TargetMode="External"/><Relationship Id="rId663" Type="http://schemas.openxmlformats.org/officeDocument/2006/relationships/hyperlink" Target="http://www.kobylice.cz/" TargetMode="External"/><Relationship Id="rId870" Type="http://schemas.openxmlformats.org/officeDocument/2006/relationships/hyperlink" Target="mailto:mesto@mestortyne.cz" TargetMode="External"/><Relationship Id="rId1044" Type="http://schemas.openxmlformats.org/officeDocument/2006/relationships/hyperlink" Target="mailto:podatelna@zdobnice.com;%20ivan.partl@zdobnice.com" TargetMode="External"/><Relationship Id="rId13" Type="http://schemas.openxmlformats.org/officeDocument/2006/relationships/hyperlink" Target="mailto:starosta@bartosovice.eu" TargetMode="External"/><Relationship Id="rId109" Type="http://schemas.openxmlformats.org/officeDocument/2006/relationships/hyperlink" Target="mailto:skrivany@skrivany.cz" TargetMode="External"/><Relationship Id="rId260" Type="http://schemas.openxmlformats.org/officeDocument/2006/relationships/hyperlink" Target="mailto:starosta.metuje@seznam.cz" TargetMode="External"/><Relationship Id="rId316" Type="http://schemas.openxmlformats.org/officeDocument/2006/relationships/hyperlink" Target="mailto:ou.vernerovice@cbox.cz" TargetMode="External"/><Relationship Id="rId523" Type="http://schemas.openxmlformats.org/officeDocument/2006/relationships/hyperlink" Target="mailto:info@obecbukvice.cz" TargetMode="External"/><Relationship Id="rId719" Type="http://schemas.openxmlformats.org/officeDocument/2006/relationships/hyperlink" Target="mailto:lipa@nadorlici.cz" TargetMode="External"/><Relationship Id="rId926" Type="http://schemas.openxmlformats.org/officeDocument/2006/relationships/hyperlink" Target="http://www.stezery.cz/" TargetMode="External"/><Relationship Id="rId968" Type="http://schemas.openxmlformats.org/officeDocument/2006/relationships/hyperlink" Target="mailto:obec.tutleky@tiscali.cz" TargetMode="External"/><Relationship Id="rId55" Type="http://schemas.openxmlformats.org/officeDocument/2006/relationships/hyperlink" Target="mailto:obec.humburky@seznam.cz" TargetMode="External"/><Relationship Id="rId97" Type="http://schemas.openxmlformats.org/officeDocument/2006/relationships/hyperlink" Target="mailto:obec.pisek@tiscali.cz" TargetMode="External"/><Relationship Id="rId120" Type="http://schemas.openxmlformats.org/officeDocument/2006/relationships/hyperlink" Target="mailto:ou.syrovatka@c-box.cz" TargetMode="External"/><Relationship Id="rId358" Type="http://schemas.openxmlformats.org/officeDocument/2006/relationships/hyperlink" Target="mailto:obec.liberk@seznam.cz" TargetMode="External"/><Relationship Id="rId565" Type="http://schemas.openxmlformats.org/officeDocument/2006/relationships/hyperlink" Target="http://www.dobrenice.cz/" TargetMode="External"/><Relationship Id="rId730" Type="http://schemas.openxmlformats.org/officeDocument/2006/relationships/hyperlink" Target="mailto:obec@lukavec.eu" TargetMode="External"/><Relationship Id="rId772" Type="http://schemas.openxmlformats.org/officeDocument/2006/relationships/hyperlink" Target="http://www.obecmladebuky.cz/" TargetMode="External"/><Relationship Id="rId828" Type="http://schemas.openxmlformats.org/officeDocument/2006/relationships/hyperlink" Target="http://www.obec-pecka.cz/" TargetMode="External"/><Relationship Id="rId1013" Type="http://schemas.openxmlformats.org/officeDocument/2006/relationships/hyperlink" Target="http://www.obecvlkov.cz/" TargetMode="External"/><Relationship Id="rId162" Type="http://schemas.openxmlformats.org/officeDocument/2006/relationships/hyperlink" Target="http://www.obecjerice.cz/" TargetMode="External"/><Relationship Id="rId218" Type="http://schemas.openxmlformats.org/officeDocument/2006/relationships/hyperlink" Target="mailto:ou.tetin@tiscali.cz" TargetMode="External"/><Relationship Id="rId425" Type="http://schemas.openxmlformats.org/officeDocument/2006/relationships/hyperlink" Target="mailto:starosta@chvalec.cz" TargetMode="External"/><Relationship Id="rId467" Type="http://schemas.openxmlformats.org/officeDocument/2006/relationships/hyperlink" Target="mailto:starosta@zacler.cz" TargetMode="External"/><Relationship Id="rId632" Type="http://schemas.openxmlformats.org/officeDocument/2006/relationships/hyperlink" Target="http://www.obec-chomutice.cz/" TargetMode="External"/><Relationship Id="rId1055" Type="http://schemas.openxmlformats.org/officeDocument/2006/relationships/hyperlink" Target="http://www.zeretice.org/" TargetMode="External"/><Relationship Id="rId271" Type="http://schemas.openxmlformats.org/officeDocument/2006/relationships/hyperlink" Target="mailto:obec.hyncice@tiscali.cz" TargetMode="External"/><Relationship Id="rId674" Type="http://schemas.openxmlformats.org/officeDocument/2006/relationships/hyperlink" Target="mailto:podatelna@muko.cz" TargetMode="External"/><Relationship Id="rId881" Type="http://schemas.openxmlformats.org/officeDocument/2006/relationships/hyperlink" Target="http://www.samsina.nasweb.eu/" TargetMode="External"/><Relationship Id="rId937" Type="http://schemas.openxmlformats.org/officeDocument/2006/relationships/hyperlink" Target="http://www.sukorady.org/" TargetMode="External"/><Relationship Id="rId979" Type="http://schemas.openxmlformats.org/officeDocument/2006/relationships/hyperlink" Target="http://www.upice.cz/" TargetMode="External"/><Relationship Id="rId24" Type="http://schemas.openxmlformats.org/officeDocument/2006/relationships/hyperlink" Target="mailto:ou@mokrovousy.cz" TargetMode="External"/><Relationship Id="rId66" Type="http://schemas.openxmlformats.org/officeDocument/2006/relationships/hyperlink" Target="mailto:kuncice@nechanicko.cz" TargetMode="External"/><Relationship Id="rId131" Type="http://schemas.openxmlformats.org/officeDocument/2006/relationships/hyperlink" Target="mailto:ouvu@seznam.cz" TargetMode="External"/><Relationship Id="rId327" Type="http://schemas.openxmlformats.org/officeDocument/2006/relationships/hyperlink" Target="mailto:obec.bohdasin@dobruska.net" TargetMode="External"/><Relationship Id="rId369" Type="http://schemas.openxmlformats.org/officeDocument/2006/relationships/hyperlink" Target="mailto:obec@orlickezahori.eu" TargetMode="External"/><Relationship Id="rId534" Type="http://schemas.openxmlformats.org/officeDocument/2006/relationships/hyperlink" Target="http://www.cermna-n-orl.cz/" TargetMode="External"/><Relationship Id="rId576" Type="http://schemas.openxmlformats.org/officeDocument/2006/relationships/hyperlink" Target="http://www.dolnilochov.cz/" TargetMode="External"/><Relationship Id="rId741" Type="http://schemas.openxmlformats.org/officeDocument/2006/relationships/hyperlink" Target="mailto:ucetni.mokre@seznam.cz" TargetMode="External"/><Relationship Id="rId783" Type="http://schemas.openxmlformats.org/officeDocument/2006/relationships/hyperlink" Target="http://www.mestonachod.cz/" TargetMode="External"/><Relationship Id="rId839" Type="http://schemas.openxmlformats.org/officeDocument/2006/relationships/hyperlink" Target="http://www.mestyspodhradi.cz/" TargetMode="External"/><Relationship Id="rId990" Type="http://schemas.openxmlformats.org/officeDocument/2006/relationships/hyperlink" Target="http://www.velkepetrovice.cz/" TargetMode="External"/><Relationship Id="rId173" Type="http://schemas.openxmlformats.org/officeDocument/2006/relationships/hyperlink" Target="mailto:obec@kozojedy.com" TargetMode="External"/><Relationship Id="rId229" Type="http://schemas.openxmlformats.org/officeDocument/2006/relationships/hyperlink" Target="mailto:mila.erlebachova@seznam.cz" TargetMode="External"/><Relationship Id="rId380" Type="http://schemas.openxmlformats.org/officeDocument/2006/relationships/hyperlink" Target="mailto:epodatelna@skuhrov.cz" TargetMode="External"/><Relationship Id="rId436" Type="http://schemas.openxmlformats.org/officeDocument/2006/relationships/hyperlink" Target="mailto:obec.libotov@tiscali.cz" TargetMode="External"/><Relationship Id="rId601" Type="http://schemas.openxmlformats.org/officeDocument/2006/relationships/hyperlink" Target="http://www.holin.e-obec.cz/" TargetMode="External"/><Relationship Id="rId643" Type="http://schemas.openxmlformats.org/officeDocument/2006/relationships/hyperlink" Target="mailto:mesto@janske-lazne.cz" TargetMode="External"/><Relationship Id="rId1024" Type="http://schemas.openxmlformats.org/officeDocument/2006/relationships/hyperlink" Target="http://www.vrsovka.cz/" TargetMode="External"/><Relationship Id="rId240" Type="http://schemas.openxmlformats.org/officeDocument/2006/relationships/hyperlink" Target="mailto:obec.zlunice@tiscali.cz" TargetMode="External"/><Relationship Id="rId478" Type="http://schemas.openxmlformats.org/officeDocument/2006/relationships/hyperlink" Target="http://www.bechary.cz/" TargetMode="External"/><Relationship Id="rId685" Type="http://schemas.openxmlformats.org/officeDocument/2006/relationships/hyperlink" Target="http://www.kratonohy.cz/" TargetMode="External"/><Relationship Id="rId850" Type="http://schemas.openxmlformats.org/officeDocument/2006/relationships/hyperlink" Target="http://www.obecprosecne.cz/" TargetMode="External"/><Relationship Id="rId892" Type="http://schemas.openxmlformats.org/officeDocument/2006/relationships/hyperlink" Target="http://www.skuhrov.cz/" TargetMode="External"/><Relationship Id="rId906" Type="http://schemas.openxmlformats.org/officeDocument/2006/relationships/hyperlink" Target="http://www.smrzov.cz/" TargetMode="External"/><Relationship Id="rId948" Type="http://schemas.openxmlformats.org/officeDocument/2006/relationships/hyperlink" Target="http://www.obcemetuje.cz/index.php?obec=sestajovice" TargetMode="External"/><Relationship Id="rId35" Type="http://schemas.openxmlformats.org/officeDocument/2006/relationships/hyperlink" Target="mailto:albrechtice@nadorlici.cz" TargetMode="External"/><Relationship Id="rId77" Type="http://schemas.openxmlformats.org/officeDocument/2006/relationships/hyperlink" Target="mailto:lochenice@iol.cz" TargetMode="External"/><Relationship Id="rId100" Type="http://schemas.openxmlformats.org/officeDocument/2006/relationships/hyperlink" Target="mailto:ouprevysov@seznam.cz" TargetMode="External"/><Relationship Id="rId282" Type="http://schemas.openxmlformats.org/officeDocument/2006/relationships/hyperlink" Target="mailto:obec@martinkovice.cz" TargetMode="External"/><Relationship Id="rId338" Type="http://schemas.openxmlformats.org/officeDocument/2006/relationships/hyperlink" Target="mailto:obecni.urad@destne.cz" TargetMode="External"/><Relationship Id="rId503" Type="http://schemas.openxmlformats.org/officeDocument/2006/relationships/hyperlink" Target="mailto:podatelna@mestoborohradek.cz" TargetMode="External"/><Relationship Id="rId545" Type="http://schemas.openxmlformats.org/officeDocument/2006/relationships/hyperlink" Target="mailto:mestock@mestock.cz" TargetMode="External"/><Relationship Id="rId587" Type="http://schemas.openxmlformats.org/officeDocument/2006/relationships/hyperlink" Target="mailto:epodatelna@mudk.cz" TargetMode="External"/><Relationship Id="rId710" Type="http://schemas.openxmlformats.org/officeDocument/2006/relationships/hyperlink" Target="mailto:libnikovice@volny.cz" TargetMode="External"/><Relationship Id="rId752" Type="http://schemas.openxmlformats.org/officeDocument/2006/relationships/hyperlink" Target="mailto:zakazky@ceskaskalice.cz" TargetMode="External"/><Relationship Id="rId808" Type="http://schemas.openxmlformats.org/officeDocument/2006/relationships/hyperlink" Target="http://www.ohavec.e-obec.cz/" TargetMode="External"/><Relationship Id="rId8" Type="http://schemas.openxmlformats.org/officeDocument/2006/relationships/hyperlink" Target="mailto:jilovice@wo.cz" TargetMode="External"/><Relationship Id="rId142" Type="http://schemas.openxmlformats.org/officeDocument/2006/relationships/hyperlink" Target="mailto:obecbristany@seznam.cz" TargetMode="External"/><Relationship Id="rId184" Type="http://schemas.openxmlformats.org/officeDocument/2006/relationships/hyperlink" Target="mailto:mladejov@craj.cz" TargetMode="External"/><Relationship Id="rId391" Type="http://schemas.openxmlformats.org/officeDocument/2006/relationships/hyperlink" Target="mailto:starosta@vamberk-city.cz" TargetMode="External"/><Relationship Id="rId405" Type="http://schemas.openxmlformats.org/officeDocument/2006/relationships/hyperlink" Target="mailto:starosta@cernydul.cz" TargetMode="External"/><Relationship Id="rId447" Type="http://schemas.openxmlformats.org/officeDocument/2006/relationships/hyperlink" Target="mailto:radvanice@volny.cz" TargetMode="External"/><Relationship Id="rId612" Type="http://schemas.openxmlformats.org/officeDocument/2006/relationships/hyperlink" Target="http://www.horice.org/" TargetMode="External"/><Relationship Id="rId794" Type="http://schemas.openxmlformats.org/officeDocument/2006/relationships/hyperlink" Target="mailto:posta@munovapaka.cz" TargetMode="External"/><Relationship Id="rId1035" Type="http://schemas.openxmlformats.org/officeDocument/2006/relationships/hyperlink" Target="mailto:obec.zabrezi@worldonline.cz" TargetMode="External"/><Relationship Id="rId251" Type="http://schemas.openxmlformats.org/officeDocument/2006/relationships/hyperlink" Target="mailto:borovaunachoda@mymail.cz" TargetMode="External"/><Relationship Id="rId489" Type="http://schemas.openxmlformats.org/officeDocument/2006/relationships/hyperlink" Target="http://www.bilepolicany.cz/" TargetMode="External"/><Relationship Id="rId654" Type="http://schemas.openxmlformats.org/officeDocument/2006/relationships/hyperlink" Target="http://www.jicineves.cz/" TargetMode="External"/><Relationship Id="rId696" Type="http://schemas.openxmlformats.org/officeDocument/2006/relationships/hyperlink" Target="http://www.lanzov.cz/" TargetMode="External"/><Relationship Id="rId861" Type="http://schemas.openxmlformats.org/officeDocument/2006/relationships/hyperlink" Target="http://www.radvanice.cz/" TargetMode="External"/><Relationship Id="rId917" Type="http://schemas.openxmlformats.org/officeDocument/2006/relationships/hyperlink" Target="mailto:obec.staravoda@seznam.cz" TargetMode="External"/><Relationship Id="rId959" Type="http://schemas.openxmlformats.org/officeDocument/2006/relationships/hyperlink" Target="http://www.trutnov.cz/" TargetMode="External"/><Relationship Id="rId46" Type="http://schemas.openxmlformats.org/officeDocument/2006/relationships/hyperlink" Target="mailto:dobrenice@volny.cz" TargetMode="External"/><Relationship Id="rId293" Type="http://schemas.openxmlformats.org/officeDocument/2006/relationships/hyperlink" Target="mailto:obec@obecotovice.cz" TargetMode="External"/><Relationship Id="rId307" Type="http://schemas.openxmlformats.org/officeDocument/2006/relationships/hyperlink" Target="mailto:obec@suchydul.cz" TargetMode="External"/><Relationship Id="rId349" Type="http://schemas.openxmlformats.org/officeDocument/2006/relationships/hyperlink" Target="mailto:starosta@obecjavornice.cz" TargetMode="External"/><Relationship Id="rId514" Type="http://schemas.openxmlformats.org/officeDocument/2006/relationships/hyperlink" Target="http://www.broumov-mesto.cz/" TargetMode="External"/><Relationship Id="rId556" Type="http://schemas.openxmlformats.org/officeDocument/2006/relationships/hyperlink" Target="http://www.obec-destne.cz/" TargetMode="External"/><Relationship Id="rId721" Type="http://schemas.openxmlformats.org/officeDocument/2006/relationships/hyperlink" Target="http://www.liskovice.cz/" TargetMode="External"/><Relationship Id="rId763" Type="http://schemas.openxmlformats.org/officeDocument/2006/relationships/hyperlink" Target="http://www.menik.cz/" TargetMode="External"/><Relationship Id="rId88" Type="http://schemas.openxmlformats.org/officeDocument/2006/relationships/hyperlink" Target="mailto:starosta@nechanice.cz" TargetMode="External"/><Relationship Id="rId111" Type="http://schemas.openxmlformats.org/officeDocument/2006/relationships/hyperlink" Target="mailto:starosta@smidary.cz" TargetMode="External"/><Relationship Id="rId153" Type="http://schemas.openxmlformats.org/officeDocument/2006/relationships/hyperlink" Target="mailto:obecholin@quick.cz" TargetMode="External"/><Relationship Id="rId195" Type="http://schemas.openxmlformats.org/officeDocument/2006/relationships/hyperlink" Target="mailto:ou@podhorniujezd.cz" TargetMode="External"/><Relationship Id="rId209" Type="http://schemas.openxmlformats.org/officeDocument/2006/relationships/hyperlink" Target="mailto:ousoberaz@centrum.cz" TargetMode="External"/><Relationship Id="rId360" Type="http://schemas.openxmlformats.org/officeDocument/2006/relationships/hyperlink" Target="mailto:starosta.lipa@nadorlici.cz" TargetMode="External"/><Relationship Id="rId416" Type="http://schemas.openxmlformats.org/officeDocument/2006/relationships/hyperlink" Target="mailto:starosta@havlovice.cz" TargetMode="External"/><Relationship Id="rId598" Type="http://schemas.openxmlformats.org/officeDocument/2006/relationships/hyperlink" Target="http://www.hermankovice.cz/" TargetMode="External"/><Relationship Id="rId819" Type="http://schemas.openxmlformats.org/officeDocument/2006/relationships/hyperlink" Target="http://www.osekusobotky.cz/" TargetMode="External"/><Relationship Id="rId970" Type="http://schemas.openxmlformats.org/officeDocument/2006/relationships/hyperlink" Target="mailto:mestsky.urad@tyniste.cz" TargetMode="External"/><Relationship Id="rId1004" Type="http://schemas.openxmlformats.org/officeDocument/2006/relationships/hyperlink" Target="http://www.vilantice.cz/" TargetMode="External"/><Relationship Id="rId1046" Type="http://schemas.openxmlformats.org/officeDocument/2006/relationships/hyperlink" Target="mailto:obec@zeleneckalhota.cz" TargetMode="External"/><Relationship Id="rId220" Type="http://schemas.openxmlformats.org/officeDocument/2006/relationships/hyperlink" Target="mailto:trtenice@tiscali.cz" TargetMode="External"/><Relationship Id="rId458" Type="http://schemas.openxmlformats.org/officeDocument/2006/relationships/hyperlink" Target="mailto:info@trebihost.cz" TargetMode="External"/><Relationship Id="rId623" Type="http://schemas.openxmlformats.org/officeDocument/2006/relationships/hyperlink" Target="http://www.hribiny-ledska.cz/" TargetMode="External"/><Relationship Id="rId665" Type="http://schemas.openxmlformats.org/officeDocument/2006/relationships/hyperlink" Target="http://www.kocbere.cz/" TargetMode="External"/><Relationship Id="rId830" Type="http://schemas.openxmlformats.org/officeDocument/2006/relationships/hyperlink" Target="http://www.pecin.cz/" TargetMode="External"/><Relationship Id="rId872" Type="http://schemas.openxmlformats.org/officeDocument/2006/relationships/hyperlink" Target="http://www.obecroznov.cz/" TargetMode="External"/><Relationship Id="rId928" Type="http://schemas.openxmlformats.org/officeDocument/2006/relationships/hyperlink" Target="mailto:technik@strazne.eu" TargetMode="External"/><Relationship Id="rId15" Type="http://schemas.openxmlformats.org/officeDocument/2006/relationships/hyperlink" Target="mailto:obec.proruby@tiscali.cz" TargetMode="External"/><Relationship Id="rId57" Type="http://schemas.openxmlformats.org/officeDocument/2006/relationships/hyperlink" Target="mailto:chuderice.ou@seznam.cz" TargetMode="External"/><Relationship Id="rId262" Type="http://schemas.openxmlformats.org/officeDocument/2006/relationships/hyperlink" Target="mailto:obec.dolrad@seznam.cz" TargetMode="External"/><Relationship Id="rId318" Type="http://schemas.openxmlformats.org/officeDocument/2006/relationships/hyperlink" Target="mailto:starosta@vrsovka.cz" TargetMode="External"/><Relationship Id="rId525" Type="http://schemas.openxmlformats.org/officeDocument/2006/relationships/hyperlink" Target="http://www.obcecr.cz/butoves/" TargetMode="External"/><Relationship Id="rId567" Type="http://schemas.openxmlformats.org/officeDocument/2006/relationships/hyperlink" Target="http://www.dolany-na.cz/" TargetMode="External"/><Relationship Id="rId732" Type="http://schemas.openxmlformats.org/officeDocument/2006/relationships/hyperlink" Target="http://www.lukavice.cz/" TargetMode="External"/><Relationship Id="rId99" Type="http://schemas.openxmlformats.org/officeDocument/2006/relationships/hyperlink" Target="mailto:predmerice@iol.cz" TargetMode="External"/><Relationship Id="rId122" Type="http://schemas.openxmlformats.org/officeDocument/2006/relationships/hyperlink" Target="mailto:ou-techlovice@seznam.cz" TargetMode="External"/><Relationship Id="rId164" Type="http://schemas.openxmlformats.org/officeDocument/2006/relationships/hyperlink" Target="mailto:obec@jicineves.cz" TargetMode="External"/><Relationship Id="rId371" Type="http://schemas.openxmlformats.org/officeDocument/2006/relationships/hyperlink" Target="mailto:starosta@podbrezi.cz" TargetMode="External"/><Relationship Id="rId774" Type="http://schemas.openxmlformats.org/officeDocument/2006/relationships/hyperlink" Target="http://www.mladejov.e-obec.cz/" TargetMode="External"/><Relationship Id="rId981" Type="http://schemas.openxmlformats.org/officeDocument/2006/relationships/hyperlink" Target="http://www.val.cz/" TargetMode="External"/><Relationship Id="rId1015" Type="http://schemas.openxmlformats.org/officeDocument/2006/relationships/hyperlink" Target="http://www.volanice.cz/" TargetMode="External"/><Relationship Id="rId1057" Type="http://schemas.openxmlformats.org/officeDocument/2006/relationships/hyperlink" Target="http://www.zidovice.e-obec.cz/" TargetMode="External"/><Relationship Id="rId427" Type="http://schemas.openxmlformats.org/officeDocument/2006/relationships/hyperlink" Target="mailto:obec.jivka@tiscali.cz" TargetMode="External"/><Relationship Id="rId469" Type="http://schemas.openxmlformats.org/officeDocument/2006/relationships/hyperlink" Target="http://www.olesnice.net/" TargetMode="External"/><Relationship Id="rId634" Type="http://schemas.openxmlformats.org/officeDocument/2006/relationships/hyperlink" Target="http://www.choustnikovohradiste.cz/" TargetMode="External"/><Relationship Id="rId676" Type="http://schemas.openxmlformats.org/officeDocument/2006/relationships/hyperlink" Target="http://www.kosteleckehorky.cz/" TargetMode="External"/><Relationship Id="rId841" Type="http://schemas.openxmlformats.org/officeDocument/2006/relationships/hyperlink" Target="http://www.obecpohori.cz/" TargetMode="External"/><Relationship Id="rId883" Type="http://schemas.openxmlformats.org/officeDocument/2006/relationships/hyperlink" Target="http://www.sedliste-jc.cz/" TargetMode="External"/><Relationship Id="rId26" Type="http://schemas.openxmlformats.org/officeDocument/2006/relationships/hyperlink" Target="mailto:ousadova@nechanicko.cz" TargetMode="External"/><Relationship Id="rId231" Type="http://schemas.openxmlformats.org/officeDocument/2006/relationships/hyperlink" Target="mailto:volanice@seznam.cz" TargetMode="External"/><Relationship Id="rId273" Type="http://schemas.openxmlformats.org/officeDocument/2006/relationships/hyperlink" Target="mailto:klepsa@jaromer-josefov.cz" TargetMode="External"/><Relationship Id="rId329" Type="http://schemas.openxmlformats.org/officeDocument/2006/relationships/hyperlink" Target="mailto:obec@borovnice.info" TargetMode="External"/><Relationship Id="rId480" Type="http://schemas.openxmlformats.org/officeDocument/2006/relationships/hyperlink" Target="http://www.benatkynb.cz/" TargetMode="External"/><Relationship Id="rId536" Type="http://schemas.openxmlformats.org/officeDocument/2006/relationships/hyperlink" Target="http://www.cernikovice.cz/" TargetMode="External"/><Relationship Id="rId701" Type="http://schemas.openxmlformats.org/officeDocument/2006/relationships/hyperlink" Target="http://www.obeclhoty.cz/" TargetMode="External"/><Relationship Id="rId939" Type="http://schemas.openxmlformats.org/officeDocument/2006/relationships/hyperlink" Target="http://www.sveti.cz/" TargetMode="External"/><Relationship Id="rId68" Type="http://schemas.openxmlformats.org/officeDocument/2006/relationships/hyperlink" Target="mailto:obec.lejsovka@tiscali.cz" TargetMode="External"/><Relationship Id="rId133" Type="http://schemas.openxmlformats.org/officeDocument/2006/relationships/hyperlink" Target="mailto:obec.zdechovice@seznam.cz" TargetMode="External"/><Relationship Id="rId175" Type="http://schemas.openxmlformats.org/officeDocument/2006/relationships/hyperlink" Target="mailto:starosta@mestoliban.cz" TargetMode="External"/><Relationship Id="rId340" Type="http://schemas.openxmlformats.org/officeDocument/2006/relationships/hyperlink" Target="mailto:obec.dobre@tiscali.cz" TargetMode="External"/><Relationship Id="rId578" Type="http://schemas.openxmlformats.org/officeDocument/2006/relationships/hyperlink" Target="http://www.dolni-prim.cz/" TargetMode="External"/><Relationship Id="rId743" Type="http://schemas.openxmlformats.org/officeDocument/2006/relationships/hyperlink" Target="mailto:jilovice@wo.cz" TargetMode="External"/><Relationship Id="rId785" Type="http://schemas.openxmlformats.org/officeDocument/2006/relationships/hyperlink" Target="http://www.nedeliste.cz/" TargetMode="External"/><Relationship Id="rId950" Type="http://schemas.openxmlformats.org/officeDocument/2006/relationships/hyperlink" Target="http://www.sonov.cz/" TargetMode="External"/><Relationship Id="rId992" Type="http://schemas.openxmlformats.org/officeDocument/2006/relationships/hyperlink" Target="http://www.velkeporici.cz/" TargetMode="External"/><Relationship Id="rId1026" Type="http://schemas.openxmlformats.org/officeDocument/2006/relationships/hyperlink" Target="http://www.vsestary-obec.cz/" TargetMode="External"/><Relationship Id="rId200" Type="http://schemas.openxmlformats.org/officeDocument/2006/relationships/hyperlink" Target="mailto:nosek158@seznam.cz" TargetMode="External"/><Relationship Id="rId382" Type="http://schemas.openxmlformats.org/officeDocument/2006/relationships/hyperlink" Target="mailto:obec.snezne@tiscali.cz" TargetMode="External"/><Relationship Id="rId438" Type="http://schemas.openxmlformats.org/officeDocument/2006/relationships/hyperlink" Target="mailto:starosta@malaupa.cz" TargetMode="External"/><Relationship Id="rId603" Type="http://schemas.openxmlformats.org/officeDocument/2006/relationships/hyperlink" Target="http://www.holovousy.cz/" TargetMode="External"/><Relationship Id="rId645" Type="http://schemas.openxmlformats.org/officeDocument/2006/relationships/hyperlink" Target="http://www.jaromer-josefov.cz/" TargetMode="External"/><Relationship Id="rId687" Type="http://schemas.openxmlformats.org/officeDocument/2006/relationships/hyperlink" Target="http://www.krinice.cz/" TargetMode="External"/><Relationship Id="rId810" Type="http://schemas.openxmlformats.org/officeDocument/2006/relationships/hyperlink" Target="mailto:starostka@ohnisov.cz" TargetMode="External"/><Relationship Id="rId852" Type="http://schemas.openxmlformats.org/officeDocument/2006/relationships/hyperlink" Target="http://www.predmericenl.cz/" TargetMode="External"/><Relationship Id="rId908" Type="http://schemas.openxmlformats.org/officeDocument/2006/relationships/hyperlink" Target="http://www.sobcice.cz/" TargetMode="External"/><Relationship Id="rId242" Type="http://schemas.openxmlformats.org/officeDocument/2006/relationships/hyperlink" Target="mailto:starosta@ceskaskalice.cz" TargetMode="External"/><Relationship Id="rId284" Type="http://schemas.openxmlformats.org/officeDocument/2006/relationships/hyperlink" Target="mailto:starosta@mezilesi.cz" TargetMode="External"/><Relationship Id="rId491" Type="http://schemas.openxmlformats.org/officeDocument/2006/relationships/hyperlink" Target="http://www.bilyujezd.cz/" TargetMode="External"/><Relationship Id="rId505" Type="http://schemas.openxmlformats.org/officeDocument/2006/relationships/hyperlink" Target="http://www.borovaunachoda.cz/" TargetMode="External"/><Relationship Id="rId712" Type="http://schemas.openxmlformats.org/officeDocument/2006/relationships/hyperlink" Target="http://www.libosovice.craj.cz/" TargetMode="External"/><Relationship Id="rId894" Type="http://schemas.openxmlformats.org/officeDocument/2006/relationships/hyperlink" Target="http://www.slatinanadupou.cz/" TargetMode="External"/><Relationship Id="rId37" Type="http://schemas.openxmlformats.org/officeDocument/2006/relationships/hyperlink" Target="mailto:obec@barchov.cz" TargetMode="External"/><Relationship Id="rId79" Type="http://schemas.openxmlformats.org/officeDocument/2006/relationships/hyperlink" Target="mailto:luzanynt@volny.cz" TargetMode="External"/><Relationship Id="rId102" Type="http://schemas.openxmlformats.org/officeDocument/2006/relationships/hyperlink" Target="mailto:Puchlovice@email.cz" TargetMode="External"/><Relationship Id="rId144" Type="http://schemas.openxmlformats.org/officeDocument/2006/relationships/hyperlink" Target="mailto:ou.bystrice@seznam.cz" TargetMode="External"/><Relationship Id="rId547" Type="http://schemas.openxmlformats.org/officeDocument/2006/relationships/hyperlink" Target="mailto:oucece@quick.cz" TargetMode="External"/><Relationship Id="rId589" Type="http://schemas.openxmlformats.org/officeDocument/2006/relationships/hyperlink" Target="http://www.habrina.cz/" TargetMode="External"/><Relationship Id="rId754" Type="http://schemas.openxmlformats.org/officeDocument/2006/relationships/hyperlink" Target="mailto:jana.gartnerova@mu.rokytnice.cz" TargetMode="External"/><Relationship Id="rId796" Type="http://schemas.openxmlformats.org/officeDocument/2006/relationships/hyperlink" Target="http://www.munovapaka.cz/" TargetMode="External"/><Relationship Id="rId961" Type="http://schemas.openxmlformats.org/officeDocument/2006/relationships/hyperlink" Target="http://www.trebechovice.cz/" TargetMode="External"/><Relationship Id="rId90" Type="http://schemas.openxmlformats.org/officeDocument/2006/relationships/hyperlink" Target="mailto:louda@novybydzov.cz" TargetMode="External"/><Relationship Id="rId186" Type="http://schemas.openxmlformats.org/officeDocument/2006/relationships/hyperlink" Target="mailto:obec.nemyceves@seznam.cz" TargetMode="External"/><Relationship Id="rId351" Type="http://schemas.openxmlformats.org/officeDocument/2006/relationships/hyperlink" Target="mailto:ouhorky@seznam.cz" TargetMode="External"/><Relationship Id="rId393" Type="http://schemas.openxmlformats.org/officeDocument/2006/relationships/hyperlink" Target="mailto:vrbice@seznam.cz" TargetMode="External"/><Relationship Id="rId407" Type="http://schemas.openxmlformats.org/officeDocument/2006/relationships/hyperlink" Target="mailto:obec.dolnibrusnice@worldonline.cz" TargetMode="External"/><Relationship Id="rId449" Type="http://schemas.openxmlformats.org/officeDocument/2006/relationships/hyperlink" Target="mailto:starosta@rudnik.cz" TargetMode="External"/><Relationship Id="rId614" Type="http://schemas.openxmlformats.org/officeDocument/2006/relationships/hyperlink" Target="mailto:kuthanova@horineves.cz" TargetMode="External"/><Relationship Id="rId656" Type="http://schemas.openxmlformats.org/officeDocument/2006/relationships/hyperlink" Target="http://www.jivka.cz/" TargetMode="External"/><Relationship Id="rId821" Type="http://schemas.openxmlformats.org/officeDocument/2006/relationships/hyperlink" Target="http://www.osice.cz/" TargetMode="External"/><Relationship Id="rId863" Type="http://schemas.openxmlformats.org/officeDocument/2006/relationships/hyperlink" Target="http://www.obec-rasin.cz/" TargetMode="External"/><Relationship Id="rId1037" Type="http://schemas.openxmlformats.org/officeDocument/2006/relationships/hyperlink" Target="http://www.zachrastany.cz/" TargetMode="External"/><Relationship Id="rId211" Type="http://schemas.openxmlformats.org/officeDocument/2006/relationships/hyperlink" Target="mailto:starosta@starapaka.cz" TargetMode="External"/><Relationship Id="rId253" Type="http://schemas.openxmlformats.org/officeDocument/2006/relationships/hyperlink" Target="mailto:starosta@broumov-m&#283;sto.cz" TargetMode="External"/><Relationship Id="rId295" Type="http://schemas.openxmlformats.org/officeDocument/2006/relationships/hyperlink" Target="mailto:starosta@provodovsonov.cz" TargetMode="External"/><Relationship Id="rId309" Type="http://schemas.openxmlformats.org/officeDocument/2006/relationships/hyperlink" Target="mailto:vlada.grusman@tiscali.cz" TargetMode="External"/><Relationship Id="rId460" Type="http://schemas.openxmlformats.org/officeDocument/2006/relationships/hyperlink" Target="mailto:starosta@velkyvrestov.cz" TargetMode="External"/><Relationship Id="rId516" Type="http://schemas.openxmlformats.org/officeDocument/2006/relationships/hyperlink" Target="http://www.brzice.cz/" TargetMode="External"/><Relationship Id="rId698" Type="http://schemas.openxmlformats.org/officeDocument/2006/relationships/hyperlink" Target="http://www.ledce.eu/" TargetMode="External"/><Relationship Id="rId919" Type="http://schemas.openxmlformats.org/officeDocument/2006/relationships/hyperlink" Target="mailto:obec.starebuky@tiscali.cz" TargetMode="External"/><Relationship Id="rId48" Type="http://schemas.openxmlformats.org/officeDocument/2006/relationships/hyperlink" Target="mailto:ou.habrina@centrum.cz" TargetMode="External"/><Relationship Id="rId113" Type="http://schemas.openxmlformats.org/officeDocument/2006/relationships/hyperlink" Target="mailto:info@smrzov.cz" TargetMode="External"/><Relationship Id="rId320" Type="http://schemas.openxmlformats.org/officeDocument/2006/relationships/hyperlink" Target="mailto:obec.vysokov@tiscali.cz" TargetMode="External"/><Relationship Id="rId558" Type="http://schemas.openxmlformats.org/officeDocument/2006/relationships/hyperlink" Target="http://www.dilce.e-obec.cz/" TargetMode="External"/><Relationship Id="rId723" Type="http://schemas.openxmlformats.org/officeDocument/2006/relationships/hyperlink" Target="http://www.litic.cz/" TargetMode="External"/><Relationship Id="rId765" Type="http://schemas.openxmlformats.org/officeDocument/2006/relationships/hyperlink" Target="http://www.mezilesi.cz/" TargetMode="External"/><Relationship Id="rId930" Type="http://schemas.openxmlformats.org/officeDocument/2006/relationships/hyperlink" Target="http://www.strevac.cz/" TargetMode="External"/><Relationship Id="rId972" Type="http://schemas.openxmlformats.org/officeDocument/2006/relationships/hyperlink" Target="http://www.ubislavice.cz/" TargetMode="External"/><Relationship Id="rId1006" Type="http://schemas.openxmlformats.org/officeDocument/2006/relationships/hyperlink" Target="mailto:podatelna@vitezna.cz" TargetMode="External"/><Relationship Id="rId155" Type="http://schemas.openxmlformats.org/officeDocument/2006/relationships/hyperlink" Target="mailto:obec@holovousy.cz" TargetMode="External"/><Relationship Id="rId197" Type="http://schemas.openxmlformats.org/officeDocument/2006/relationships/hyperlink" Target="mailto:zzalsky@seznam.cz" TargetMode="External"/><Relationship Id="rId362" Type="http://schemas.openxmlformats.org/officeDocument/2006/relationships/hyperlink" Target="mailto:ou@obeclupenice.cz" TargetMode="External"/><Relationship Id="rId418" Type="http://schemas.openxmlformats.org/officeDocument/2006/relationships/hyperlink" Target="mailto:obechornikalna@guick.cz" TargetMode="External"/><Relationship Id="rId625" Type="http://schemas.openxmlformats.org/officeDocument/2006/relationships/hyperlink" Target="http://www.hribojedy.cz/" TargetMode="External"/><Relationship Id="rId832" Type="http://schemas.openxmlformats.org/officeDocument/2006/relationships/hyperlink" Target="http://www.petrovicky.unas.cz/" TargetMode="External"/><Relationship Id="rId1048" Type="http://schemas.openxmlformats.org/officeDocument/2006/relationships/hyperlink" Target="mailto:podat.zl-olesnice@volny.cz" TargetMode="External"/><Relationship Id="rId222" Type="http://schemas.openxmlformats.org/officeDocument/2006/relationships/hyperlink" Target="mailto:urad@ubislavice.cz" TargetMode="External"/><Relationship Id="rId264" Type="http://schemas.openxmlformats.org/officeDocument/2006/relationships/hyperlink" Target="mailto:obec.hermanice@quick.cz" TargetMode="External"/><Relationship Id="rId471" Type="http://schemas.openxmlformats.org/officeDocument/2006/relationships/hyperlink" Target="http://www.albrechtice-nad-orlici.cz/" TargetMode="External"/><Relationship Id="rId667" Type="http://schemas.openxmlformats.org/officeDocument/2006/relationships/hyperlink" Target="http://www.konecchlumi-obec.cz/" TargetMode="External"/><Relationship Id="rId874" Type="http://schemas.openxmlformats.org/officeDocument/2006/relationships/hyperlink" Target="http://www.rudnik.cz/" TargetMode="External"/><Relationship Id="rId17" Type="http://schemas.openxmlformats.org/officeDocument/2006/relationships/hyperlink" Target="mailto:obec.proruby@tiscali.cz" TargetMode="External"/><Relationship Id="rId59" Type="http://schemas.openxmlformats.org/officeDocument/2006/relationships/hyperlink" Target="mailto:karanice@seznam.cz" TargetMode="External"/><Relationship Id="rId124" Type="http://schemas.openxmlformats.org/officeDocument/2006/relationships/hyperlink" Target="mailto:obec.tresovice@tiscali.cz" TargetMode="External"/><Relationship Id="rId527" Type="http://schemas.openxmlformats.org/officeDocument/2006/relationships/hyperlink" Target="http://www.obecbystrice.cz/" TargetMode="External"/><Relationship Id="rId569" Type="http://schemas.openxmlformats.org/officeDocument/2006/relationships/hyperlink" Target="http://www.dbranna.cz/" TargetMode="External"/><Relationship Id="rId734" Type="http://schemas.openxmlformats.org/officeDocument/2006/relationships/hyperlink" Target="http://www.luzanynt.cz/" TargetMode="External"/><Relationship Id="rId776" Type="http://schemas.openxmlformats.org/officeDocument/2006/relationships/hyperlink" Target="http://www.mlekosrby.cz/" TargetMode="External"/><Relationship Id="rId941" Type="http://schemas.openxmlformats.org/officeDocument/2006/relationships/hyperlink" Target="mailto:podatelna@musvoboda.cz" TargetMode="External"/><Relationship Id="rId983" Type="http://schemas.openxmlformats.org/officeDocument/2006/relationships/hyperlink" Target="http://www.valdice.cz/" TargetMode="External"/><Relationship Id="rId70" Type="http://schemas.openxmlformats.org/officeDocument/2006/relationships/hyperlink" Target="http://www.lhotapodlibcany.cz/" TargetMode="External"/><Relationship Id="rId166" Type="http://schemas.openxmlformats.org/officeDocument/2006/relationships/hyperlink" Target="mailto:kacakovalhota@seznam.cz" TargetMode="External"/><Relationship Id="rId331" Type="http://schemas.openxmlformats.org/officeDocument/2006/relationships/hyperlink" Target="mailto:obec@byzhradec.cz" TargetMode="External"/><Relationship Id="rId373" Type="http://schemas.openxmlformats.org/officeDocument/2006/relationships/hyperlink" Target="mailto:starosta@polom.cz" TargetMode="External"/><Relationship Id="rId429" Type="http://schemas.openxmlformats.org/officeDocument/2006/relationships/hyperlink" Target="mailto:starosta.kocbere@cmail.cz" TargetMode="External"/><Relationship Id="rId580" Type="http://schemas.openxmlformats.org/officeDocument/2006/relationships/hyperlink" Target="http://www.doubravice.cz/" TargetMode="External"/><Relationship Id="rId636" Type="http://schemas.openxmlformats.org/officeDocument/2006/relationships/hyperlink" Target="http://www.chvalec.cz/" TargetMode="External"/><Relationship Id="rId801" Type="http://schemas.openxmlformats.org/officeDocument/2006/relationships/hyperlink" Target="mailto:mesto@novybydzov.cz" TargetMode="External"/><Relationship Id="rId1017" Type="http://schemas.openxmlformats.org/officeDocument/2006/relationships/hyperlink" Target="http://www.vrbice.info/" TargetMode="External"/><Relationship Id="rId1059" Type="http://schemas.openxmlformats.org/officeDocument/2006/relationships/hyperlink" Target="http://www.chyjice.wz.cz/" TargetMode="External"/><Relationship Id="rId1" Type="http://schemas.openxmlformats.org/officeDocument/2006/relationships/hyperlink" Target="http://www.obecmokre.cz/" TargetMode="External"/><Relationship Id="rId233" Type="http://schemas.openxmlformats.org/officeDocument/2006/relationships/hyperlink" Target="mailto:ou.vrsce@seznam.cz" TargetMode="External"/><Relationship Id="rId440" Type="http://schemas.openxmlformats.org/officeDocument/2006/relationships/hyperlink" Target="mailto:obec.marsov@tiscali.cz" TargetMode="External"/><Relationship Id="rId678" Type="http://schemas.openxmlformats.org/officeDocument/2006/relationships/hyperlink" Target="http://www.kovac-obec.cz/" TargetMode="External"/><Relationship Id="rId843" Type="http://schemas.openxmlformats.org/officeDocument/2006/relationships/hyperlink" Target="http://www.meu-police.cz/" TargetMode="External"/><Relationship Id="rId885" Type="http://schemas.openxmlformats.org/officeDocument/2006/relationships/hyperlink" Target="mailto:ou.sekerice@tiscali.cz" TargetMode="External"/><Relationship Id="rId28" Type="http://schemas.openxmlformats.org/officeDocument/2006/relationships/hyperlink" Target="http://www.chlumecnc.cz/" TargetMode="External"/><Relationship Id="rId275" Type="http://schemas.openxmlformats.org/officeDocument/2006/relationships/hyperlink" Target="mailto:jestrebi.na@wo.cz" TargetMode="External"/><Relationship Id="rId300" Type="http://schemas.openxmlformats.org/officeDocument/2006/relationships/hyperlink" Target="mailto:obec@obecrikov.cz" TargetMode="External"/><Relationship Id="rId482" Type="http://schemas.openxmlformats.org/officeDocument/2006/relationships/hyperlink" Target="http://www.obecbernartice.cz/" TargetMode="External"/><Relationship Id="rId538" Type="http://schemas.openxmlformats.org/officeDocument/2006/relationships/hyperlink" Target="http://www.cernilov.eu/" TargetMode="External"/><Relationship Id="rId703" Type="http://schemas.openxmlformats.org/officeDocument/2006/relationships/hyperlink" Target="http://www.mestoliban.cz/" TargetMode="External"/><Relationship Id="rId745" Type="http://schemas.openxmlformats.org/officeDocument/2006/relationships/hyperlink" Target="mailto:starosta@sovetice.cz" TargetMode="External"/><Relationship Id="rId910" Type="http://schemas.openxmlformats.org/officeDocument/2006/relationships/hyperlink" Target="mailto:%20urad@sobotka.cz;%20sobotka@craj.cz" TargetMode="External"/><Relationship Id="rId952" Type="http://schemas.openxmlformats.org/officeDocument/2006/relationships/hyperlink" Target="http://www.mestospindleruvmlyn.cz/" TargetMode="External"/><Relationship Id="rId81" Type="http://schemas.openxmlformats.org/officeDocument/2006/relationships/hyperlink" Target="mailto:obec@maslojedy.cz" TargetMode="External"/><Relationship Id="rId135" Type="http://schemas.openxmlformats.org/officeDocument/2006/relationships/hyperlink" Target="mailto:basnice@podchlumi.cz" TargetMode="External"/><Relationship Id="rId177" Type="http://schemas.openxmlformats.org/officeDocument/2006/relationships/hyperlink" Target="mailto:starosta@libun.cz" TargetMode="External"/><Relationship Id="rId342" Type="http://schemas.openxmlformats.org/officeDocument/2006/relationships/hyperlink" Target="mailto:obecdobrany@volny.cz" TargetMode="External"/><Relationship Id="rId384" Type="http://schemas.openxmlformats.org/officeDocument/2006/relationships/hyperlink" Target="mailto:obec@svidnice.cz" TargetMode="External"/><Relationship Id="rId591" Type="http://schemas.openxmlformats.org/officeDocument/2006/relationships/hyperlink" Target="mailto:obec@havlovice.cz&#160;" TargetMode="External"/><Relationship Id="rId605" Type="http://schemas.openxmlformats.org/officeDocument/2006/relationships/hyperlink" Target="http://www.hornikalna.cz/" TargetMode="External"/><Relationship Id="rId787" Type="http://schemas.openxmlformats.org/officeDocument/2006/relationships/hyperlink" Target="mailto:info@nemojov.com,%20podatelna@nemojov.com" TargetMode="External"/><Relationship Id="rId812" Type="http://schemas.openxmlformats.org/officeDocument/2006/relationships/hyperlink" Target="http://www.olesnice-nad-cidlinou.cz/" TargetMode="External"/><Relationship Id="rId994" Type="http://schemas.openxmlformats.org/officeDocument/2006/relationships/hyperlink" Target="http://www.velkesvatonovice.cz/" TargetMode="External"/><Relationship Id="rId1028" Type="http://schemas.openxmlformats.org/officeDocument/2006/relationships/hyperlink" Target="mailto:info@vysoka-nad-labem.cz" TargetMode="External"/><Relationship Id="rId202" Type="http://schemas.openxmlformats.org/officeDocument/2006/relationships/hyperlink" Target="mailto:obecsamsina@seznam.cz" TargetMode="External"/><Relationship Id="rId244" Type="http://schemas.openxmlformats.org/officeDocument/2006/relationships/hyperlink" Target="mailto:mmoravec@mestoborohradek.cz" TargetMode="External"/><Relationship Id="rId647" Type="http://schemas.openxmlformats.org/officeDocument/2006/relationships/hyperlink" Target="mailto:obec@obecjavornice.cz" TargetMode="External"/><Relationship Id="rId689" Type="http://schemas.openxmlformats.org/officeDocument/2006/relationships/hyperlink" Target="http://www.kuncice.cz/" TargetMode="External"/><Relationship Id="rId854" Type="http://schemas.openxmlformats.org/officeDocument/2006/relationships/hyperlink" Target="http://www.obecpribyslav.cz/" TargetMode="External"/><Relationship Id="rId896" Type="http://schemas.openxmlformats.org/officeDocument/2006/relationships/hyperlink" Target="http://www.slatinanz.cz/" TargetMode="External"/><Relationship Id="rId39" Type="http://schemas.openxmlformats.org/officeDocument/2006/relationships/hyperlink" Target="mailto:starosta@benatkynb.cz" TargetMode="External"/><Relationship Id="rId286" Type="http://schemas.openxmlformats.org/officeDocument/2006/relationships/hyperlink" Target="mailto:ou.nahorany@iol.cz" TargetMode="External"/><Relationship Id="rId451" Type="http://schemas.openxmlformats.org/officeDocument/2006/relationships/hyperlink" Target="mailto:bischof@hi-net.cz" TargetMode="External"/><Relationship Id="rId493" Type="http://schemas.openxmlformats.org/officeDocument/2006/relationships/hyperlink" Target="http://www.blesno.org/" TargetMode="External"/><Relationship Id="rId507" Type="http://schemas.openxmlformats.org/officeDocument/2006/relationships/hyperlink" Target="mailto:busak@borovnice.cz" TargetMode="External"/><Relationship Id="rId549" Type="http://schemas.openxmlformats.org/officeDocument/2006/relationships/hyperlink" Target="mailto:ceska.metuje@seznam.cz" TargetMode="External"/><Relationship Id="rId714" Type="http://schemas.openxmlformats.org/officeDocument/2006/relationships/hyperlink" Target="http://www.librantice.cz/" TargetMode="External"/><Relationship Id="rId756" Type="http://schemas.openxmlformats.org/officeDocument/2006/relationships/hyperlink" Target="mailto:podatelna@malaupa.cz" TargetMode="External"/><Relationship Id="rId921" Type="http://schemas.openxmlformats.org/officeDocument/2006/relationships/hyperlink" Target="http://www.stare-hrady.cz/" TargetMode="External"/><Relationship Id="rId50" Type="http://schemas.openxmlformats.org/officeDocument/2006/relationships/hyperlink" Target="mailto:starosta@hnevceves.cz" TargetMode="External"/><Relationship Id="rId104" Type="http://schemas.openxmlformats.org/officeDocument/2006/relationships/hyperlink" Target="mailto:radikovice@volny.cz" TargetMode="External"/><Relationship Id="rId146" Type="http://schemas.openxmlformats.org/officeDocument/2006/relationships/hyperlink" Target="mailto:ouct@c-mail.cz" TargetMode="External"/><Relationship Id="rId188" Type="http://schemas.openxmlformats.org/officeDocument/2006/relationships/hyperlink" Target="mailto:starosta@munovapaka.cz" TargetMode="External"/><Relationship Id="rId311" Type="http://schemas.openxmlformats.org/officeDocument/2006/relationships/hyperlink" Target="mailto:obecvelichovky@obecvelichovky.cz" TargetMode="External"/><Relationship Id="rId353" Type="http://schemas.openxmlformats.org/officeDocument/2006/relationships/hyperlink" Target="mailto:ou.kralovalhota@seznam.cz" TargetMode="External"/><Relationship Id="rId395" Type="http://schemas.openxmlformats.org/officeDocument/2006/relationships/hyperlink" Target="mailto:ouzdelov@asc.cz" TargetMode="External"/><Relationship Id="rId409" Type="http://schemas.openxmlformats.org/officeDocument/2006/relationships/hyperlink" Target="mailto:starosta@dolnikalna.cz" TargetMode="External"/><Relationship Id="rId560" Type="http://schemas.openxmlformats.org/officeDocument/2006/relationships/hyperlink" Target="http://www.dobravodauhoric.cz/" TargetMode="External"/><Relationship Id="rId798" Type="http://schemas.openxmlformats.org/officeDocument/2006/relationships/hyperlink" Target="http://www.novemestonm.cz/" TargetMode="External"/><Relationship Id="rId963" Type="http://schemas.openxmlformats.org/officeDocument/2006/relationships/hyperlink" Target="http://www.trebihost.cz/" TargetMode="External"/><Relationship Id="rId1039" Type="http://schemas.openxmlformats.org/officeDocument/2006/relationships/hyperlink" Target="http://www.obeczamel.cz/" TargetMode="External"/><Relationship Id="rId92" Type="http://schemas.openxmlformats.org/officeDocument/2006/relationships/hyperlink" Target="mailto:obec.ohnistany@seznam.cz" TargetMode="External"/><Relationship Id="rId213" Type="http://schemas.openxmlformats.org/officeDocument/2006/relationships/hyperlink" Target="mailto:ou.staremisto@tiscali.cz" TargetMode="External"/><Relationship Id="rId420" Type="http://schemas.openxmlformats.org/officeDocument/2006/relationships/hyperlink" Target="mailto:linkova@horniolesnice.cz" TargetMode="External"/><Relationship Id="rId616" Type="http://schemas.openxmlformats.org/officeDocument/2006/relationships/hyperlink" Target="mailto:starostka@muhostinne.cz&#160;" TargetMode="External"/><Relationship Id="rId658" Type="http://schemas.openxmlformats.org/officeDocument/2006/relationships/hyperlink" Target="http://www.karanice.cz/" TargetMode="External"/><Relationship Id="rId823" Type="http://schemas.openxmlformats.org/officeDocument/2006/relationships/hyperlink" Target="http://www.ostromer.cz/" TargetMode="External"/><Relationship Id="rId865" Type="http://schemas.openxmlformats.org/officeDocument/2006/relationships/hyperlink" Target="http://www.rohenice.cz/" TargetMode="External"/><Relationship Id="rId1050" Type="http://schemas.openxmlformats.org/officeDocument/2006/relationships/hyperlink" Target="mailto:posta@zacler.cz" TargetMode="External"/><Relationship Id="rId255" Type="http://schemas.openxmlformats.org/officeDocument/2006/relationships/hyperlink" Target="mailto:srutek@obecbukovice.cz" TargetMode="External"/><Relationship Id="rId297" Type="http://schemas.openxmlformats.org/officeDocument/2006/relationships/hyperlink" Target="mailto:ou.rasosky@c-box.cz" TargetMode="External"/><Relationship Id="rId462" Type="http://schemas.openxmlformats.org/officeDocument/2006/relationships/hyperlink" Target="mailto:starosta@vitezna.cz" TargetMode="External"/><Relationship Id="rId518" Type="http://schemas.openxmlformats.org/officeDocument/2006/relationships/hyperlink" Target="http://www.bristany.cz/" TargetMode="External"/><Relationship Id="rId725" Type="http://schemas.openxmlformats.org/officeDocument/2006/relationships/hyperlink" Target="http://www.litobor.webnode.cz/" TargetMode="External"/><Relationship Id="rId932" Type="http://schemas.openxmlformats.org/officeDocument/2006/relationships/hyperlink" Target="mailto:urad@obecstudnicena.cz" TargetMode="External"/><Relationship Id="rId115" Type="http://schemas.openxmlformats.org/officeDocument/2006/relationships/hyperlink" Target="mailto:ousb@seznam.cz" TargetMode="External"/><Relationship Id="rId157" Type="http://schemas.openxmlformats.org/officeDocument/2006/relationships/hyperlink" Target="mailto:urad@cholenice.cz" TargetMode="External"/><Relationship Id="rId322" Type="http://schemas.openxmlformats.org/officeDocument/2006/relationships/hyperlink" Target="mailto:ou.zalonov@cmail.cz" TargetMode="External"/><Relationship Id="rId364" Type="http://schemas.openxmlformats.org/officeDocument/2006/relationships/hyperlink" Target="mailto:ocelice@wo.cz" TargetMode="External"/><Relationship Id="rId767" Type="http://schemas.openxmlformats.org/officeDocument/2006/relationships/hyperlink" Target="mailto:podatelna@mezimesti.cz" TargetMode="External"/><Relationship Id="rId974" Type="http://schemas.openxmlformats.org/officeDocument/2006/relationships/hyperlink" Target="http://www.uhlejov.cz/" TargetMode="External"/><Relationship Id="rId1008" Type="http://schemas.openxmlformats.org/officeDocument/2006/relationships/hyperlink" Target="http://www.vitineves.cz/" TargetMode="External"/><Relationship Id="rId61" Type="http://schemas.openxmlformats.org/officeDocument/2006/relationships/hyperlink" Target="mailto:kobylice@volny.cz" TargetMode="External"/><Relationship Id="rId199" Type="http://schemas.openxmlformats.org/officeDocument/2006/relationships/hyperlink" Target="mailto:ou.rasin@tiscali.cz" TargetMode="External"/><Relationship Id="rId571" Type="http://schemas.openxmlformats.org/officeDocument/2006/relationships/hyperlink" Target="http://www.dolnidvur.cz/" TargetMode="External"/><Relationship Id="rId627" Type="http://schemas.openxmlformats.org/officeDocument/2006/relationships/hyperlink" Target="http://www.hvozdnice.cz/" TargetMode="External"/><Relationship Id="rId669" Type="http://schemas.openxmlformats.org/officeDocument/2006/relationships/hyperlink" Target="mailto:starosta@kopidlno.cz" TargetMode="External"/><Relationship Id="rId834" Type="http://schemas.openxmlformats.org/officeDocument/2006/relationships/hyperlink" Target="http://www.pilnikov.cz/" TargetMode="External"/><Relationship Id="rId876" Type="http://schemas.openxmlformats.org/officeDocument/2006/relationships/hyperlink" Target="mailto:podatelna@rychnov-city.cz" TargetMode="External"/><Relationship Id="rId19" Type="http://schemas.openxmlformats.org/officeDocument/2006/relationships/hyperlink" Target="mailto:prepychy@prepychy.cz" TargetMode="External"/><Relationship Id="rId224" Type="http://schemas.openxmlformats.org/officeDocument/2006/relationships/hyperlink" Target="mailto:uhlejov@seznam.cz" TargetMode="External"/><Relationship Id="rId266" Type="http://schemas.openxmlformats.org/officeDocument/2006/relationships/hyperlink" Target="mailto:starosta@obechr.com" TargetMode="External"/><Relationship Id="rId431" Type="http://schemas.openxmlformats.org/officeDocument/2006/relationships/hyperlink" Target="mailto:oukuncice@volny.cz" TargetMode="External"/><Relationship Id="rId473" Type="http://schemas.openxmlformats.org/officeDocument/2006/relationships/hyperlink" Target="http://www.bacalky.cz/" TargetMode="External"/><Relationship Id="rId529" Type="http://schemas.openxmlformats.org/officeDocument/2006/relationships/hyperlink" Target="mailto:ou@cerekvice.cz" TargetMode="External"/><Relationship Id="rId680" Type="http://schemas.openxmlformats.org/officeDocument/2006/relationships/hyperlink" Target="http://www.ou.kraliky.info/" TargetMode="External"/><Relationship Id="rId736" Type="http://schemas.openxmlformats.org/officeDocument/2006/relationships/hyperlink" Target="mailto:%20m.mitlohner@centrum.cz" TargetMode="External"/><Relationship Id="rId901" Type="http://schemas.openxmlformats.org/officeDocument/2006/relationships/hyperlink" Target="http://www.sloupno.cz/" TargetMode="External"/><Relationship Id="rId1061" Type="http://schemas.openxmlformats.org/officeDocument/2006/relationships/hyperlink" Target="mailto:ou@bolehost.cz" TargetMode="External"/><Relationship Id="rId30" Type="http://schemas.openxmlformats.org/officeDocument/2006/relationships/hyperlink" Target="http://www.lazne-belohrad.cz/" TargetMode="External"/><Relationship Id="rId126" Type="http://schemas.openxmlformats.org/officeDocument/2006/relationships/hyperlink" Target="mailto:vinary@seznam.cz" TargetMode="External"/><Relationship Id="rId168" Type="http://schemas.openxmlformats.org/officeDocument/2006/relationships/hyperlink" Target="mailto:obec@kneznice.cz" TargetMode="External"/><Relationship Id="rId333" Type="http://schemas.openxmlformats.org/officeDocument/2006/relationships/hyperlink" Target="mailto:obec@cermna-n-orl.cz" TargetMode="External"/><Relationship Id="rId540" Type="http://schemas.openxmlformats.org/officeDocument/2006/relationships/hyperlink" Target="mailto:podatelna@cernydul.cz" TargetMode="External"/><Relationship Id="rId778" Type="http://schemas.openxmlformats.org/officeDocument/2006/relationships/hyperlink" Target="http://www.mostek.cz/" TargetMode="External"/><Relationship Id="rId943" Type="http://schemas.openxmlformats.org/officeDocument/2006/relationships/hyperlink" Target="mailto:obec.synkov.slemeno@cmail.cz" TargetMode="External"/><Relationship Id="rId985" Type="http://schemas.openxmlformats.org/officeDocument/2006/relationships/hyperlink" Target="http://www.vamberk-city.cz/" TargetMode="External"/><Relationship Id="rId1019" Type="http://schemas.openxmlformats.org/officeDocument/2006/relationships/hyperlink" Target="mailto:posta@muvrchlabi.cz" TargetMode="External"/><Relationship Id="rId72" Type="http://schemas.openxmlformats.org/officeDocument/2006/relationships/hyperlink" Target="mailto:starosta@libnikovice.cz" TargetMode="External"/><Relationship Id="rId375" Type="http://schemas.openxmlformats.org/officeDocument/2006/relationships/hyperlink" Target="mailto:obec@rybna.cz" TargetMode="External"/><Relationship Id="rId582" Type="http://schemas.openxmlformats.org/officeDocument/2006/relationships/hyperlink" Target="mailto:obec@doudleby.cz" TargetMode="External"/><Relationship Id="rId638" Type="http://schemas.openxmlformats.org/officeDocument/2006/relationships/hyperlink" Target="mailto:starosta@chvalkovice.cz" TargetMode="External"/><Relationship Id="rId803" Type="http://schemas.openxmlformats.org/officeDocument/2006/relationships/hyperlink" Target="mailto:uradmestyse@novy-hradek.cz" TargetMode="External"/><Relationship Id="rId845" Type="http://schemas.openxmlformats.org/officeDocument/2006/relationships/hyperlink" Target="mailto:e-podatelna@potstejn.cz" TargetMode="External"/><Relationship Id="rId1030" Type="http://schemas.openxmlformats.org/officeDocument/2006/relationships/hyperlink" Target="http://www.vysokasrbska.cz/" TargetMode="External"/><Relationship Id="rId3" Type="http://schemas.openxmlformats.org/officeDocument/2006/relationships/hyperlink" Target="http://www.obec-jilovice.cz/" TargetMode="External"/><Relationship Id="rId235" Type="http://schemas.openxmlformats.org/officeDocument/2006/relationships/hyperlink" Target="mailto:ou.zamosti@tiscali.cz" TargetMode="External"/><Relationship Id="rId277" Type="http://schemas.openxmlformats.org/officeDocument/2006/relationships/hyperlink" Target="mailto:info@kramolna.cz" TargetMode="External"/><Relationship Id="rId400" Type="http://schemas.openxmlformats.org/officeDocument/2006/relationships/hyperlink" Target="mailto:starosta@bilatremesna.cz" TargetMode="External"/><Relationship Id="rId442" Type="http://schemas.openxmlformats.org/officeDocument/2006/relationships/hyperlink" Target="mailto:starosta@mostek.cz" TargetMode="External"/><Relationship Id="rId484" Type="http://schemas.openxmlformats.org/officeDocument/2006/relationships/hyperlink" Target="http://www.bezdekov.org/" TargetMode="External"/><Relationship Id="rId705" Type="http://schemas.openxmlformats.org/officeDocument/2006/relationships/hyperlink" Target="http://www.libcany.cz/" TargetMode="External"/><Relationship Id="rId887" Type="http://schemas.openxmlformats.org/officeDocument/2006/relationships/hyperlink" Target="http://www.semechnice.cz/" TargetMode="External"/><Relationship Id="rId137" Type="http://schemas.openxmlformats.org/officeDocument/2006/relationships/hyperlink" Target="mailto:obec.bilsko@c-box.cz" TargetMode="External"/><Relationship Id="rId302" Type="http://schemas.openxmlformats.org/officeDocument/2006/relationships/hyperlink" Target="mailto:pokorna@slatinanadupou.cz" TargetMode="External"/><Relationship Id="rId344" Type="http://schemas.openxmlformats.org/officeDocument/2006/relationships/hyperlink" Target="mailto:ou.hribiny@tiscali.cz" TargetMode="External"/><Relationship Id="rId691" Type="http://schemas.openxmlformats.org/officeDocument/2006/relationships/hyperlink" Target="http://www.obec-kvasiny.cz/" TargetMode="External"/><Relationship Id="rId747" Type="http://schemas.openxmlformats.org/officeDocument/2006/relationships/hyperlink" Target="mailto:obec.proruby@tiscali.cz" TargetMode="External"/><Relationship Id="rId789" Type="http://schemas.openxmlformats.org/officeDocument/2006/relationships/hyperlink" Target="http://www.nemyceves.cz/" TargetMode="External"/><Relationship Id="rId912" Type="http://schemas.openxmlformats.org/officeDocument/2006/relationships/hyperlink" Target="http://www.solnice.cz/" TargetMode="External"/><Relationship Id="rId954" Type="http://schemas.openxmlformats.org/officeDocument/2006/relationships/hyperlink" Target="mailto:teplicenadmetuji.mesto@teplicenadmetuji.cz" TargetMode="External"/><Relationship Id="rId996" Type="http://schemas.openxmlformats.org/officeDocument/2006/relationships/hyperlink" Target="http://www.velkytrebesov.cz/" TargetMode="External"/><Relationship Id="rId41" Type="http://schemas.openxmlformats.org/officeDocument/2006/relationships/hyperlink" Target="mailto:ouboharyne@volny.cz" TargetMode="External"/><Relationship Id="rId83" Type="http://schemas.openxmlformats.org/officeDocument/2006/relationships/hyperlink" Target="mailto:obec.mlekosrby@seznam.cz" TargetMode="External"/><Relationship Id="rId179" Type="http://schemas.openxmlformats.org/officeDocument/2006/relationships/hyperlink" Target="mailto:starosta@lukavec.eu" TargetMode="External"/><Relationship Id="rId386" Type="http://schemas.openxmlformats.org/officeDocument/2006/relationships/hyperlink" Target="mailto:obec.trnov@post.cz" TargetMode="External"/><Relationship Id="rId551" Type="http://schemas.openxmlformats.org/officeDocument/2006/relationships/hyperlink" Target="mailto:zdarek@ceskemezirici.cz" TargetMode="External"/><Relationship Id="rId593" Type="http://schemas.openxmlformats.org/officeDocument/2006/relationships/hyperlink" Target="mailto:obec.hejtmankovice@tiscali.cz" TargetMode="External"/><Relationship Id="rId607" Type="http://schemas.openxmlformats.org/officeDocument/2006/relationships/hyperlink" Target="http://www.hornimarsov.cz/" TargetMode="External"/><Relationship Id="rId649" Type="http://schemas.openxmlformats.org/officeDocument/2006/relationships/hyperlink" Target="http://www.jenikovice.trebechovicko.cz/" TargetMode="External"/><Relationship Id="rId814" Type="http://schemas.openxmlformats.org/officeDocument/2006/relationships/hyperlink" Target="http://www.opocno.cz/" TargetMode="External"/><Relationship Id="rId856" Type="http://schemas.openxmlformats.org/officeDocument/2006/relationships/hyperlink" Target="http://www.puchlovice.cz/" TargetMode="External"/><Relationship Id="rId190" Type="http://schemas.openxmlformats.org/officeDocument/2006/relationships/hyperlink" Target="mailto:obec.ohavec@seznam.cz" TargetMode="External"/><Relationship Id="rId204" Type="http://schemas.openxmlformats.org/officeDocument/2006/relationships/hyperlink" Target="mailto:starosta@sedliste-jc.cz" TargetMode="External"/><Relationship Id="rId246" Type="http://schemas.openxmlformats.org/officeDocument/2006/relationships/hyperlink" Target="mailto:podatelna@mu.rokytnice.cz" TargetMode="External"/><Relationship Id="rId288" Type="http://schemas.openxmlformats.org/officeDocument/2006/relationships/hyperlink" Target="mailto:j.birke@mestonachod.cz" TargetMode="External"/><Relationship Id="rId411" Type="http://schemas.openxmlformats.org/officeDocument/2006/relationships/hyperlink" Target="mailto:dolniolesnice@quick.cz" TargetMode="External"/><Relationship Id="rId453" Type="http://schemas.openxmlformats.org/officeDocument/2006/relationships/hyperlink" Target="mailto:starosta@suchovrsice.cz" TargetMode="External"/><Relationship Id="rId509" Type="http://schemas.openxmlformats.org/officeDocument/2006/relationships/hyperlink" Target="http://www.borovnicka.eu/" TargetMode="External"/><Relationship Id="rId660" Type="http://schemas.openxmlformats.org/officeDocument/2006/relationships/hyperlink" Target="http://www.klamos.cz/" TargetMode="External"/><Relationship Id="rId898" Type="http://schemas.openxmlformats.org/officeDocument/2006/relationships/hyperlink" Target="http://www.slavetinnadmetuji.cz/" TargetMode="External"/><Relationship Id="rId1041" Type="http://schemas.openxmlformats.org/officeDocument/2006/relationships/hyperlink" Target="http://www.obec-zdechovice.cz/" TargetMode="External"/><Relationship Id="rId106" Type="http://schemas.openxmlformats.org/officeDocument/2006/relationships/hyperlink" Target="mailto:ouroudnice@iol.cz" TargetMode="External"/><Relationship Id="rId313" Type="http://schemas.openxmlformats.org/officeDocument/2006/relationships/hyperlink" Target="mailto:ou.velkepetrovice@seznam.cz" TargetMode="External"/><Relationship Id="rId495" Type="http://schemas.openxmlformats.org/officeDocument/2006/relationships/hyperlink" Target="http://www.bohanka.org/" TargetMode="External"/><Relationship Id="rId716" Type="http://schemas.openxmlformats.org/officeDocument/2006/relationships/hyperlink" Target="mailto:ou@libun.cz" TargetMode="External"/><Relationship Id="rId758" Type="http://schemas.openxmlformats.org/officeDocument/2006/relationships/hyperlink" Target="mailto:podatelna@malesvatonovice.cz" TargetMode="External"/><Relationship Id="rId923" Type="http://schemas.openxmlformats.org/officeDocument/2006/relationships/hyperlink" Target="http://www.staresmrkovice.cz/" TargetMode="External"/><Relationship Id="rId965" Type="http://schemas.openxmlformats.org/officeDocument/2006/relationships/hyperlink" Target="http://www.nechanicko.cz/tresovice" TargetMode="External"/><Relationship Id="rId10" Type="http://schemas.openxmlformats.org/officeDocument/2006/relationships/hyperlink" Target="mailto:info@sovetice.cz" TargetMode="External"/><Relationship Id="rId52" Type="http://schemas.openxmlformats.org/officeDocument/2006/relationships/hyperlink" Target="mailto:ou@horineves.cz" TargetMode="External"/><Relationship Id="rId94" Type="http://schemas.openxmlformats.org/officeDocument/2006/relationships/hyperlink" Target="mailto:ou@osice.cz" TargetMode="External"/><Relationship Id="rId148" Type="http://schemas.openxmlformats.org/officeDocument/2006/relationships/hyperlink" Target="mailto:detenice@iol.cz" TargetMode="External"/><Relationship Id="rId355" Type="http://schemas.openxmlformats.org/officeDocument/2006/relationships/hyperlink" Target="mailto:starosta@obec-kvasiny.cz" TargetMode="External"/><Relationship Id="rId397" Type="http://schemas.openxmlformats.org/officeDocument/2006/relationships/hyperlink" Target="mailto:zdar@wo.cz" TargetMode="External"/><Relationship Id="rId520" Type="http://schemas.openxmlformats.org/officeDocument/2006/relationships/hyperlink" Target="mailto:obec.bukovice@iol.cz" TargetMode="External"/><Relationship Id="rId562" Type="http://schemas.openxmlformats.org/officeDocument/2006/relationships/hyperlink" Target="mailto:posta@mestodobruska.cz" TargetMode="External"/><Relationship Id="rId618" Type="http://schemas.openxmlformats.org/officeDocument/2006/relationships/hyperlink" Target="mailto:epodatelna@mmhk.cz" TargetMode="External"/><Relationship Id="rId825" Type="http://schemas.openxmlformats.org/officeDocument/2006/relationships/hyperlink" Target="http://www.obecotovice.cz/" TargetMode="External"/><Relationship Id="rId215" Type="http://schemas.openxmlformats.org/officeDocument/2006/relationships/hyperlink" Target="mailto:sukorady@gmail.com" TargetMode="External"/><Relationship Id="rId257" Type="http://schemas.openxmlformats.org/officeDocument/2006/relationships/hyperlink" Target="mailto:ou.cervenahora@tiscali.cz" TargetMode="External"/><Relationship Id="rId422" Type="http://schemas.openxmlformats.org/officeDocument/2006/relationships/hyperlink" Target="mailto:urad@muhostinne.cz" TargetMode="External"/><Relationship Id="rId464" Type="http://schemas.openxmlformats.org/officeDocument/2006/relationships/hyperlink" Target="mailto:starosta@vlckovice.cz" TargetMode="External"/><Relationship Id="rId867" Type="http://schemas.openxmlformats.org/officeDocument/2006/relationships/hyperlink" Target="http://www.rohoznice.eu/" TargetMode="External"/><Relationship Id="rId1010" Type="http://schemas.openxmlformats.org/officeDocument/2006/relationships/hyperlink" Target="http://www.ou-vlcice.cz/" TargetMode="External"/><Relationship Id="rId1052" Type="http://schemas.openxmlformats.org/officeDocument/2006/relationships/hyperlink" Target="http://www.zdarnadorlici.cz/" TargetMode="External"/><Relationship Id="rId299" Type="http://schemas.openxmlformats.org/officeDocument/2006/relationships/hyperlink" Target="mailto:ou.rychnovek@cmail.cz" TargetMode="External"/><Relationship Id="rId727" Type="http://schemas.openxmlformats.org/officeDocument/2006/relationships/hyperlink" Target="http://www.obec-lochenice.cz/" TargetMode="External"/><Relationship Id="rId934" Type="http://schemas.openxmlformats.org/officeDocument/2006/relationships/hyperlink" Target="mailto:obec.suchovrsice@tiscali.cz" TargetMode="External"/><Relationship Id="rId63" Type="http://schemas.openxmlformats.org/officeDocument/2006/relationships/hyperlink" Target="mailto:obec.kosicky@volny.cz" TargetMode="External"/><Relationship Id="rId159" Type="http://schemas.openxmlformats.org/officeDocument/2006/relationships/hyperlink" Target="mailto:obec@chotec.cz" TargetMode="External"/><Relationship Id="rId366" Type="http://schemas.openxmlformats.org/officeDocument/2006/relationships/hyperlink" Target="mailto:obec.olesnice@tiscali.cz" TargetMode="External"/><Relationship Id="rId573" Type="http://schemas.openxmlformats.org/officeDocument/2006/relationships/hyperlink" Target="http://www.dolnikalna.cz/" TargetMode="External"/><Relationship Id="rId780" Type="http://schemas.openxmlformats.org/officeDocument/2006/relationships/hyperlink" Target="http://www.mysteves.cz/" TargetMode="External"/><Relationship Id="rId226" Type="http://schemas.openxmlformats.org/officeDocument/2006/relationships/hyperlink" Target="mailto:info@ulibice.cz" TargetMode="External"/><Relationship Id="rId433" Type="http://schemas.openxmlformats.org/officeDocument/2006/relationships/hyperlink" Target="mailto:vancl@lanov.cz" TargetMode="External"/><Relationship Id="rId878" Type="http://schemas.openxmlformats.org/officeDocument/2006/relationships/hyperlink" Target="http://www.rychnovek.cz/" TargetMode="External"/><Relationship Id="rId1063" Type="http://schemas.openxmlformats.org/officeDocument/2006/relationships/printerSettings" Target="../printerSettings/printerSettings1.bin"/><Relationship Id="rId640" Type="http://schemas.openxmlformats.org/officeDocument/2006/relationships/hyperlink" Target="http://www.jahodov.inu.cz/" TargetMode="External"/><Relationship Id="rId738" Type="http://schemas.openxmlformats.org/officeDocument/2006/relationships/hyperlink" Target="http://www.luzecnadcidlinou.cz/" TargetMode="External"/><Relationship Id="rId945" Type="http://schemas.openxmlformats.org/officeDocument/2006/relationships/hyperlink" Target="http://www.syrovatka.cz/" TargetMode="External"/><Relationship Id="rId74" Type="http://schemas.openxmlformats.org/officeDocument/2006/relationships/hyperlink" Target="mailto:obec.librice@tiscali.cz" TargetMode="External"/><Relationship Id="rId377" Type="http://schemas.openxmlformats.org/officeDocument/2006/relationships/hyperlink" Target="mailto:ou.ricky@obecricky.cz" TargetMode="External"/><Relationship Id="rId500" Type="http://schemas.openxmlformats.org/officeDocument/2006/relationships/hyperlink" Target="http://www.bohuslavice.com/" TargetMode="External"/><Relationship Id="rId584" Type="http://schemas.openxmlformats.org/officeDocument/2006/relationships/hyperlink" Target="http://www.drevenice.org/" TargetMode="External"/><Relationship Id="rId805" Type="http://schemas.openxmlformats.org/officeDocument/2006/relationships/hyperlink" Target="http://www.obedovice.cz/" TargetMode="External"/><Relationship Id="rId5" Type="http://schemas.openxmlformats.org/officeDocument/2006/relationships/hyperlink" Target="mailto:ou.kuks@mkinet.cz" TargetMode="External"/><Relationship Id="rId237" Type="http://schemas.openxmlformats.org/officeDocument/2006/relationships/hyperlink" Target="mailto:obec@zeretice.org" TargetMode="External"/><Relationship Id="rId791" Type="http://schemas.openxmlformats.org/officeDocument/2006/relationships/hyperlink" Target="mailto:nepolisy@volny.cz" TargetMode="External"/><Relationship Id="rId889" Type="http://schemas.openxmlformats.org/officeDocument/2006/relationships/hyperlink" Target="http://www.sendrazice.cz/" TargetMode="External"/><Relationship Id="rId444" Type="http://schemas.openxmlformats.org/officeDocument/2006/relationships/hyperlink" Target="mailto:tomasek@pecpodsnezkou.cz" TargetMode="External"/><Relationship Id="rId651" Type="http://schemas.openxmlformats.org/officeDocument/2006/relationships/hyperlink" Target="http://www.jetrichov.cz/" TargetMode="External"/><Relationship Id="rId749" Type="http://schemas.openxmlformats.org/officeDocument/2006/relationships/hyperlink" Target="mailto:zeman@chlumecnc.cz" TargetMode="External"/><Relationship Id="rId290" Type="http://schemas.openxmlformats.org/officeDocument/2006/relationships/hyperlink" Target="mailto:um.starosta@novy-hradek.cz" TargetMode="External"/><Relationship Id="rId304" Type="http://schemas.openxmlformats.org/officeDocument/2006/relationships/hyperlink" Target="mailto:obecniurad@slavonov.cz" TargetMode="External"/><Relationship Id="rId388" Type="http://schemas.openxmlformats.org/officeDocument/2006/relationships/hyperlink" Target="mailto:starosta.tutleky@tiscali.cz" TargetMode="External"/><Relationship Id="rId511" Type="http://schemas.openxmlformats.org/officeDocument/2006/relationships/hyperlink" Target="http://www.obecbozanov.cz/" TargetMode="External"/><Relationship Id="rId609" Type="http://schemas.openxmlformats.org/officeDocument/2006/relationships/hyperlink" Target="http://www.obechr.com/" TargetMode="External"/><Relationship Id="rId956" Type="http://schemas.openxmlformats.org/officeDocument/2006/relationships/hyperlink" Target="http://www.tetin.e-obec.cz/" TargetMode="External"/><Relationship Id="rId85" Type="http://schemas.openxmlformats.org/officeDocument/2006/relationships/hyperlink" Target="mailto:mysteves@volny.cz" TargetMode="External"/><Relationship Id="rId150" Type="http://schemas.openxmlformats.org/officeDocument/2006/relationships/hyperlink" Target="mailto:oudobravoda@tiscali.cz" TargetMode="External"/><Relationship Id="rId595" Type="http://schemas.openxmlformats.org/officeDocument/2006/relationships/hyperlink" Target="http://www.obec-hermanice.cz/" TargetMode="External"/><Relationship Id="rId816" Type="http://schemas.openxmlformats.org/officeDocument/2006/relationships/hyperlink" Target="http://www.orlickezahori.eu/" TargetMode="External"/><Relationship Id="rId1001" Type="http://schemas.openxmlformats.org/officeDocument/2006/relationships/hyperlink" Target="http://www.obecvestec.eu/" TargetMode="External"/><Relationship Id="rId248" Type="http://schemas.openxmlformats.org/officeDocument/2006/relationships/hyperlink" Target="mailto:ou@obecadrspach.cz" TargetMode="External"/><Relationship Id="rId455" Type="http://schemas.openxmlformats.org/officeDocument/2006/relationships/hyperlink" Target="mailto:starosta@mestospindleruvmlyn.cz" TargetMode="External"/><Relationship Id="rId662" Type="http://schemas.openxmlformats.org/officeDocument/2006/relationships/hyperlink" Target="http://www.kneznice.cz/" TargetMode="External"/><Relationship Id="rId12" Type="http://schemas.openxmlformats.org/officeDocument/2006/relationships/hyperlink" Target="http://www.bartosovice.eu/" TargetMode="External"/><Relationship Id="rId108" Type="http://schemas.openxmlformats.org/officeDocument/2006/relationships/hyperlink" Target="mailto:obec.skalice@tiscali.cz" TargetMode="External"/><Relationship Id="rId315" Type="http://schemas.openxmlformats.org/officeDocument/2006/relationships/hyperlink" Target="mailto:jaromir.mervart@velkytrebesov.cz" TargetMode="External"/><Relationship Id="rId522" Type="http://schemas.openxmlformats.org/officeDocument/2006/relationships/hyperlink" Target="mailto:bukvice@tiscali.cz" TargetMode="External"/><Relationship Id="rId967" Type="http://schemas.openxmlformats.org/officeDocument/2006/relationships/hyperlink" Target="http://www.tur.e-obec.cz/" TargetMode="External"/><Relationship Id="rId96" Type="http://schemas.openxmlformats.org/officeDocument/2006/relationships/hyperlink" Target="mailto:50355.Petrovice@email.cz" TargetMode="External"/><Relationship Id="rId161" Type="http://schemas.openxmlformats.org/officeDocument/2006/relationships/hyperlink" Target="mailto:ou.jerice@cmail.cz" TargetMode="External"/><Relationship Id="rId399" Type="http://schemas.openxmlformats.org/officeDocument/2006/relationships/hyperlink" Target="mailto:starosta@obecbernartice.cz" TargetMode="External"/><Relationship Id="rId827" Type="http://schemas.openxmlformats.org/officeDocument/2006/relationships/hyperlink" Target="http://www.pecpodsnezkou.cz/" TargetMode="External"/><Relationship Id="rId1012" Type="http://schemas.openxmlformats.org/officeDocument/2006/relationships/hyperlink" Target="http://www.vlckovice.cz/" TargetMode="External"/><Relationship Id="rId259" Type="http://schemas.openxmlformats.org/officeDocument/2006/relationships/hyperlink" Target="mailto:starostka@ceskacermna.cz" TargetMode="External"/><Relationship Id="rId466" Type="http://schemas.openxmlformats.org/officeDocument/2006/relationships/hyperlink" Target="mailto:posta@zdobin.cz" TargetMode="External"/><Relationship Id="rId673" Type="http://schemas.openxmlformats.org/officeDocument/2006/relationships/hyperlink" Target="http://www.kosicky.cz/" TargetMode="External"/><Relationship Id="rId880" Type="http://schemas.openxmlformats.org/officeDocument/2006/relationships/hyperlink" Target="http://www.obecrikov.cz/" TargetMode="External"/><Relationship Id="rId23" Type="http://schemas.openxmlformats.org/officeDocument/2006/relationships/hyperlink" Target="mailto:obec@dohalice.cz" TargetMode="External"/><Relationship Id="rId119" Type="http://schemas.openxmlformats.org/officeDocument/2006/relationships/hyperlink" Target="mailto:obec@sveti.cz" TargetMode="External"/><Relationship Id="rId326" Type="http://schemas.openxmlformats.org/officeDocument/2006/relationships/hyperlink" Target="mailto:bily.ujezd@tiscali.cz" TargetMode="External"/><Relationship Id="rId533" Type="http://schemas.openxmlformats.org/officeDocument/2006/relationships/hyperlink" Target="http://www.obec-cermna.cz/" TargetMode="External"/><Relationship Id="rId978" Type="http://schemas.openxmlformats.org/officeDocument/2006/relationships/hyperlink" Target="mailto:mupice@volny.cz" TargetMode="External"/><Relationship Id="rId740" Type="http://schemas.openxmlformats.org/officeDocument/2006/relationships/hyperlink" Target="http://www.machov-obec.cz/" TargetMode="External"/><Relationship Id="rId838" Type="http://schemas.openxmlformats.org/officeDocument/2006/relationships/hyperlink" Target="http://www.podhorniujezd.cz/" TargetMode="External"/><Relationship Id="rId1023" Type="http://schemas.openxmlformats.org/officeDocument/2006/relationships/hyperlink" Target="mailto:podatelna@vrsovka.cz" TargetMode="External"/><Relationship Id="rId172" Type="http://schemas.openxmlformats.org/officeDocument/2006/relationships/hyperlink" Target="mailto:ou.kovac@seznam.cz" TargetMode="External"/><Relationship Id="rId477" Type="http://schemas.openxmlformats.org/officeDocument/2006/relationships/hyperlink" Target="http://www.batnovice.cz/" TargetMode="External"/><Relationship Id="rId600" Type="http://schemas.openxmlformats.org/officeDocument/2006/relationships/hyperlink" Target="http://www.hnevceves.cz/" TargetMode="External"/><Relationship Id="rId684" Type="http://schemas.openxmlformats.org/officeDocument/2006/relationships/hyperlink" Target="mailto:obec@kratonohy.cz" TargetMode="External"/><Relationship Id="rId337" Type="http://schemas.openxmlformats.org/officeDocument/2006/relationships/hyperlink" Target="mailto:obeccestice@iol.cz" TargetMode="External"/><Relationship Id="rId891" Type="http://schemas.openxmlformats.org/officeDocument/2006/relationships/hyperlink" Target="http://www.skrivany.cz/" TargetMode="External"/><Relationship Id="rId905" Type="http://schemas.openxmlformats.org/officeDocument/2006/relationships/hyperlink" Target="http://www.smirice.cz/" TargetMode="External"/><Relationship Id="rId989" Type="http://schemas.openxmlformats.org/officeDocument/2006/relationships/hyperlink" Target="http://www.velkajesenice.cz/" TargetMode="External"/><Relationship Id="rId34" Type="http://schemas.openxmlformats.org/officeDocument/2006/relationships/hyperlink" Target="mailto:obec.zdarnm@tiscali.cz" TargetMode="External"/><Relationship Id="rId544" Type="http://schemas.openxmlformats.org/officeDocument/2006/relationships/hyperlink" Target="http://www.cervenatremesna.cz/" TargetMode="External"/><Relationship Id="rId751" Type="http://schemas.openxmlformats.org/officeDocument/2006/relationships/hyperlink" Target="mailto:obec@zdarnadmetuji.cz" TargetMode="External"/><Relationship Id="rId849" Type="http://schemas.openxmlformats.org/officeDocument/2006/relationships/hyperlink" Target="http://www.praskacka.cz/" TargetMode="External"/><Relationship Id="rId183" Type="http://schemas.openxmlformats.org/officeDocument/2006/relationships/hyperlink" Target="mailto:alois.jirsak@gmail.com" TargetMode="External"/><Relationship Id="rId390" Type="http://schemas.openxmlformats.org/officeDocument/2006/relationships/hyperlink" Target="mailto:ou.val@val.cz" TargetMode="External"/><Relationship Id="rId404" Type="http://schemas.openxmlformats.org/officeDocument/2006/relationships/hyperlink" Target="mailto:ou_cermna@volny.cz" TargetMode="External"/><Relationship Id="rId611" Type="http://schemas.openxmlformats.org/officeDocument/2006/relationships/hyperlink" Target="mailto:mesturad@horice.org" TargetMode="External"/><Relationship Id="rId1034" Type="http://schemas.openxmlformats.org/officeDocument/2006/relationships/hyperlink" Target="http://www.zabrodi.cz/" TargetMode="External"/><Relationship Id="rId250" Type="http://schemas.openxmlformats.org/officeDocument/2006/relationships/hyperlink" Target="mailto:starosta@bohuslavice.com" TargetMode="External"/><Relationship Id="rId488" Type="http://schemas.openxmlformats.org/officeDocument/2006/relationships/hyperlink" Target="mailto:bilepolicany@atlas.cz" TargetMode="External"/><Relationship Id="rId695" Type="http://schemas.openxmlformats.org/officeDocument/2006/relationships/hyperlink" Target="http://www.lanov.cz/" TargetMode="External"/><Relationship Id="rId709" Type="http://schemas.openxmlformats.org/officeDocument/2006/relationships/hyperlink" Target="http://www.libnatov.cz/" TargetMode="External"/><Relationship Id="rId916" Type="http://schemas.openxmlformats.org/officeDocument/2006/relationships/hyperlink" Target="http://www.starapaka.cz/" TargetMode="External"/><Relationship Id="rId45" Type="http://schemas.openxmlformats.org/officeDocument/2006/relationships/hyperlink" Target="mailto:divec@seznam.cz" TargetMode="External"/><Relationship Id="rId110" Type="http://schemas.openxmlformats.org/officeDocument/2006/relationships/hyperlink" Target="mailto:obec@sloupno.cz" TargetMode="External"/><Relationship Id="rId348" Type="http://schemas.openxmlformats.org/officeDocument/2006/relationships/hyperlink" Target="mailto:janov@wo.cz" TargetMode="External"/><Relationship Id="rId555" Type="http://schemas.openxmlformats.org/officeDocument/2006/relationships/hyperlink" Target="http://www.cisteves.cz/" TargetMode="External"/><Relationship Id="rId762" Type="http://schemas.openxmlformats.org/officeDocument/2006/relationships/hyperlink" Target="http://www.maslojedy.cz/" TargetMode="External"/><Relationship Id="rId194" Type="http://schemas.openxmlformats.org/officeDocument/2006/relationships/hyperlink" Target="mailto:ou.petrovicky@tiscali.cz" TargetMode="External"/><Relationship Id="rId208" Type="http://schemas.openxmlformats.org/officeDocument/2006/relationships/hyperlink" Target="mailto:ou@sobcice.cz" TargetMode="External"/><Relationship Id="rId415" Type="http://schemas.openxmlformats.org/officeDocument/2006/relationships/hyperlink" Target="mailto:ou.hajnice@cmail.cz" TargetMode="External"/><Relationship Id="rId622" Type="http://schemas.openxmlformats.org/officeDocument/2006/relationships/hyperlink" Target="http://www.mestohronov.cz/" TargetMode="External"/><Relationship Id="rId1045" Type="http://schemas.openxmlformats.org/officeDocument/2006/relationships/hyperlink" Target="http://www.zdobnice.com/" TargetMode="External"/><Relationship Id="rId261" Type="http://schemas.openxmlformats.org/officeDocument/2006/relationships/hyperlink" Target="mailto:obec@dolany-na.cz" TargetMode="External"/><Relationship Id="rId499" Type="http://schemas.openxmlformats.org/officeDocument/2006/relationships/hyperlink" Target="mailto:podatelna@bohuslavice.com" TargetMode="External"/><Relationship Id="rId927" Type="http://schemas.openxmlformats.org/officeDocument/2006/relationships/hyperlink" Target="http://www.stracov.cz/" TargetMode="External"/><Relationship Id="rId56" Type="http://schemas.openxmlformats.org/officeDocument/2006/relationships/hyperlink" Target="mailto:obec@hvozdnice.cz" TargetMode="External"/><Relationship Id="rId359" Type="http://schemas.openxmlformats.org/officeDocument/2006/relationships/hyperlink" Target="mailto:obec@licno.cz" TargetMode="External"/><Relationship Id="rId566" Type="http://schemas.openxmlformats.org/officeDocument/2006/relationships/hyperlink" Target="http://www.dohalice.cz/" TargetMode="External"/><Relationship Id="rId773" Type="http://schemas.openxmlformats.org/officeDocument/2006/relationships/hyperlink" Target="mailto:info@mestysmladebuky.cz;%20podatelna@mestysmladebuky.cz" TargetMode="External"/><Relationship Id="rId121" Type="http://schemas.openxmlformats.org/officeDocument/2006/relationships/hyperlink" Target="mailto:saplava@volny.cz" TargetMode="External"/><Relationship Id="rId219" Type="http://schemas.openxmlformats.org/officeDocument/2006/relationships/hyperlink" Target="mailto:outrebnouseves@cbox.cz" TargetMode="External"/><Relationship Id="rId426" Type="http://schemas.openxmlformats.org/officeDocument/2006/relationships/hyperlink" Target="mailto:starosta@janske-lazne.cz" TargetMode="External"/><Relationship Id="rId633" Type="http://schemas.openxmlformats.org/officeDocument/2006/relationships/hyperlink" Target="http://www.chotec.cz/" TargetMode="External"/><Relationship Id="rId980" Type="http://schemas.openxmlformats.org/officeDocument/2006/relationships/hyperlink" Target="http://www.urbanice.cz/" TargetMode="External"/><Relationship Id="rId1056" Type="http://schemas.openxmlformats.org/officeDocument/2006/relationships/hyperlink" Target="http://www.zernov.cz/" TargetMode="External"/><Relationship Id="rId840" Type="http://schemas.openxmlformats.org/officeDocument/2006/relationships/hyperlink" Target="http://www.podulsi.cz/" TargetMode="External"/><Relationship Id="rId938" Type="http://schemas.openxmlformats.org/officeDocument/2006/relationships/hyperlink" Target="http://www.svatojanskyujezd.cz/" TargetMode="External"/><Relationship Id="rId67" Type="http://schemas.openxmlformats.org/officeDocument/2006/relationships/hyperlink" Target="mailto:ou.ledce@seznam.cz" TargetMode="External"/><Relationship Id="rId272" Type="http://schemas.openxmlformats.org/officeDocument/2006/relationships/hyperlink" Target="mailto:obec@chvalkovice.cz" TargetMode="External"/><Relationship Id="rId577" Type="http://schemas.openxmlformats.org/officeDocument/2006/relationships/hyperlink" Target="http://www.dolniolesnice.cz/" TargetMode="External"/><Relationship Id="rId700" Type="http://schemas.openxmlformats.org/officeDocument/2006/relationships/hyperlink" Target="http://www.lhotapodhorickami.cz/" TargetMode="External"/><Relationship Id="rId132" Type="http://schemas.openxmlformats.org/officeDocument/2006/relationships/hyperlink" Target="mailto:ouzach@tiscali.cz" TargetMode="External"/><Relationship Id="rId784" Type="http://schemas.openxmlformats.org/officeDocument/2006/relationships/hyperlink" Target="mailto:podatelna@mestonachod.cz" TargetMode="External"/><Relationship Id="rId991" Type="http://schemas.openxmlformats.org/officeDocument/2006/relationships/hyperlink" Target="mailto:ou@velkeporici.cz" TargetMode="External"/><Relationship Id="rId437" Type="http://schemas.openxmlformats.org/officeDocument/2006/relationships/hyperlink" Target="mailto:litic@litic.cz" TargetMode="External"/><Relationship Id="rId644" Type="http://schemas.openxmlformats.org/officeDocument/2006/relationships/hyperlink" Target="mailto:podatelna@jaromer-josefov.cz" TargetMode="External"/><Relationship Id="rId851" Type="http://schemas.openxmlformats.org/officeDocument/2006/relationships/hyperlink" Target="http://www.provodovsonov.cz/" TargetMode="External"/><Relationship Id="rId283" Type="http://schemas.openxmlformats.org/officeDocument/2006/relationships/hyperlink" Target="mailto:obec.mezileci@tiscali.cz" TargetMode="External"/><Relationship Id="rId490" Type="http://schemas.openxmlformats.org/officeDocument/2006/relationships/hyperlink" Target="http://www.bilskouhoric.cz/" TargetMode="External"/><Relationship Id="rId504" Type="http://schemas.openxmlformats.org/officeDocument/2006/relationships/hyperlink" Target="http://www.mestoborohradek.cz/" TargetMode="External"/><Relationship Id="rId711" Type="http://schemas.openxmlformats.org/officeDocument/2006/relationships/hyperlink" Target="http://www.libnikovice.cz/" TargetMode="External"/><Relationship Id="rId949" Type="http://schemas.openxmlformats.org/officeDocument/2006/relationships/hyperlink" Target="mailto:sonov@obec.cz" TargetMode="External"/><Relationship Id="rId78" Type="http://schemas.openxmlformats.org/officeDocument/2006/relationships/hyperlink" Target="mailto:starosta@lovcice.eu" TargetMode="External"/><Relationship Id="rId143" Type="http://schemas.openxmlformats.org/officeDocument/2006/relationships/hyperlink" Target="mailto:obecbudceves@quick.cz" TargetMode="External"/><Relationship Id="rId350" Type="http://schemas.openxmlformats.org/officeDocument/2006/relationships/hyperlink" Target="mailto:fkinsky@kostelecno.cz" TargetMode="External"/><Relationship Id="rId588" Type="http://schemas.openxmlformats.org/officeDocument/2006/relationships/hyperlink" Target="http://www.mudk.cz/" TargetMode="External"/><Relationship Id="rId795" Type="http://schemas.openxmlformats.org/officeDocument/2006/relationships/hyperlink" Target="http://www.poorlicko.cz/novaves/" TargetMode="External"/><Relationship Id="rId809" Type="http://schemas.openxmlformats.org/officeDocument/2006/relationships/hyperlink" Target="http://www.ohnisov.cz/" TargetMode="External"/><Relationship Id="rId9" Type="http://schemas.openxmlformats.org/officeDocument/2006/relationships/hyperlink" Target="http://www.kuks.cz/" TargetMode="External"/><Relationship Id="rId210" Type="http://schemas.openxmlformats.org/officeDocument/2006/relationships/hyperlink" Target="mailto:jencek@mesto-sobotka.cz" TargetMode="External"/><Relationship Id="rId448" Type="http://schemas.openxmlformats.org/officeDocument/2006/relationships/hyperlink" Target="mailto:starosta@mestortyne.cz" TargetMode="External"/><Relationship Id="rId655" Type="http://schemas.openxmlformats.org/officeDocument/2006/relationships/hyperlink" Target="http://www.obecjinolice.cz/" TargetMode="External"/><Relationship Id="rId862" Type="http://schemas.openxmlformats.org/officeDocument/2006/relationships/hyperlink" Target="http://www.rasosky.cz/" TargetMode="External"/><Relationship Id="rId294" Type="http://schemas.openxmlformats.org/officeDocument/2006/relationships/hyperlink" Target="mailto:idajenkova@meu-police.cz" TargetMode="External"/><Relationship Id="rId308" Type="http://schemas.openxmlformats.org/officeDocument/2006/relationships/hyperlink" Target="mailto:ou_sestajovice@quick.cz" TargetMode="External"/><Relationship Id="rId515" Type="http://schemas.openxmlformats.org/officeDocument/2006/relationships/hyperlink" Target="mailto:obec@brzice.cz" TargetMode="External"/><Relationship Id="rId722" Type="http://schemas.openxmlformats.org/officeDocument/2006/relationships/hyperlink" Target="http://www.lisice.eu/" TargetMode="External"/><Relationship Id="rId89" Type="http://schemas.openxmlformats.org/officeDocument/2006/relationships/hyperlink" Target="mailto:posta@obecnovemesto.cz" TargetMode="External"/><Relationship Id="rId154" Type="http://schemas.openxmlformats.org/officeDocument/2006/relationships/hyperlink" Target="mailto:svoboda@horice.org" TargetMode="External"/><Relationship Id="rId361" Type="http://schemas.openxmlformats.org/officeDocument/2006/relationships/hyperlink" Target="mailto:obec.lukavice@tiscali.cz" TargetMode="External"/><Relationship Id="rId599" Type="http://schemas.openxmlformats.org/officeDocument/2006/relationships/hyperlink" Target="mailto:starosta@hnevceves.cz;%20epodatelna@hnevceves.cz" TargetMode="External"/><Relationship Id="rId1005" Type="http://schemas.openxmlformats.org/officeDocument/2006/relationships/hyperlink" Target="http://www.vinary.cz/" TargetMode="External"/><Relationship Id="rId459" Type="http://schemas.openxmlformats.org/officeDocument/2006/relationships/hyperlink" Target="mailto:starosta@upice.cz" TargetMode="External"/><Relationship Id="rId666" Type="http://schemas.openxmlformats.org/officeDocument/2006/relationships/hyperlink" Target="http://www.kohoutov.info/" TargetMode="External"/><Relationship Id="rId873" Type="http://schemas.openxmlformats.org/officeDocument/2006/relationships/hyperlink" Target="mailto:podatelna@rudnik.cz" TargetMode="External"/><Relationship Id="rId16" Type="http://schemas.openxmlformats.org/officeDocument/2006/relationships/hyperlink" Target="http://www.proruby.webnode.cz/" TargetMode="External"/><Relationship Id="rId221" Type="http://schemas.openxmlformats.org/officeDocument/2006/relationships/hyperlink" Target="mailto:obectur@seznam.cz" TargetMode="External"/><Relationship Id="rId319" Type="http://schemas.openxmlformats.org/officeDocument/2006/relationships/hyperlink" Target="mailto:starosta@vysokasrbska.cz" TargetMode="External"/><Relationship Id="rId526" Type="http://schemas.openxmlformats.org/officeDocument/2006/relationships/hyperlink" Target="http://www.obecbystre.cz/" TargetMode="External"/><Relationship Id="rId733" Type="http://schemas.openxmlformats.org/officeDocument/2006/relationships/hyperlink" Target="http://www.obeclupenice.cz/" TargetMode="External"/><Relationship Id="rId940" Type="http://schemas.openxmlformats.org/officeDocument/2006/relationships/hyperlink" Target="http://www.svidnice.cz/" TargetMode="External"/><Relationship Id="rId1016" Type="http://schemas.openxmlformats.org/officeDocument/2006/relationships/hyperlink" Target="http://www.vrbice-jc.cz/" TargetMode="External"/><Relationship Id="rId165" Type="http://schemas.openxmlformats.org/officeDocument/2006/relationships/hyperlink" Target="mailto:jinolice@tiscali.cz" TargetMode="External"/><Relationship Id="rId372" Type="http://schemas.openxmlformats.org/officeDocument/2006/relationships/hyperlink" Target="mailto:urad@obecpohori.cz" TargetMode="External"/><Relationship Id="rId677" Type="http://schemas.openxmlformats.org/officeDocument/2006/relationships/hyperlink" Target="http://www.obeckounov.cz/" TargetMode="External"/><Relationship Id="rId800" Type="http://schemas.openxmlformats.org/officeDocument/2006/relationships/hyperlink" Target="http://www.novybydzov.cz/" TargetMode="External"/><Relationship Id="rId232" Type="http://schemas.openxmlformats.org/officeDocument/2006/relationships/hyperlink" Target="mailto:obec.vrbice@seznam.cz" TargetMode="External"/><Relationship Id="rId884" Type="http://schemas.openxmlformats.org/officeDocument/2006/relationships/hyperlink" Target="http://www.sedlonov.cz/" TargetMode="External"/><Relationship Id="rId27" Type="http://schemas.openxmlformats.org/officeDocument/2006/relationships/hyperlink" Target="mailto:starosta@chlumecnc.cz" TargetMode="External"/><Relationship Id="rId537" Type="http://schemas.openxmlformats.org/officeDocument/2006/relationships/hyperlink" Target="mailto:cernilov@iol.cz" TargetMode="External"/><Relationship Id="rId744" Type="http://schemas.openxmlformats.org/officeDocument/2006/relationships/hyperlink" Target="mailto:ou.kuks@mkinet.cz" TargetMode="External"/><Relationship Id="rId951" Type="http://schemas.openxmlformats.org/officeDocument/2006/relationships/hyperlink" Target="mailto:podatelna@mestospindleruvmlyn.cz" TargetMode="External"/><Relationship Id="rId80" Type="http://schemas.openxmlformats.org/officeDocument/2006/relationships/hyperlink" Target="mailto:DrahokoupilPetr@seznam.cz" TargetMode="External"/><Relationship Id="rId176" Type="http://schemas.openxmlformats.org/officeDocument/2006/relationships/hyperlink" Target="mailto:libosovice@craj.cz" TargetMode="External"/><Relationship Id="rId383" Type="http://schemas.openxmlformats.org/officeDocument/2006/relationships/hyperlink" Target="mailto:mu@solnice.cz" TargetMode="External"/><Relationship Id="rId590" Type="http://schemas.openxmlformats.org/officeDocument/2006/relationships/hyperlink" Target="http://www.hajnice.cz/" TargetMode="External"/><Relationship Id="rId604" Type="http://schemas.openxmlformats.org/officeDocument/2006/relationships/hyperlink" Target="http://www.hornibrusnice.cz/" TargetMode="External"/><Relationship Id="rId811" Type="http://schemas.openxmlformats.org/officeDocument/2006/relationships/hyperlink" Target="http://www.ohnistany.cz/" TargetMode="External"/><Relationship Id="rId1027" Type="http://schemas.openxmlformats.org/officeDocument/2006/relationships/hyperlink" Target="http://www.vyrava.cz/" TargetMode="External"/><Relationship Id="rId243" Type="http://schemas.openxmlformats.org/officeDocument/2006/relationships/hyperlink" Target="mailto:urad@ceskaskalice.cz" TargetMode="External"/><Relationship Id="rId450" Type="http://schemas.openxmlformats.org/officeDocument/2006/relationships/hyperlink" Target="mailto:ou.stanovice@cmail.cz" TargetMode="External"/><Relationship Id="rId688" Type="http://schemas.openxmlformats.org/officeDocument/2006/relationships/hyperlink" Target="http://www.kuncice.info/" TargetMode="External"/><Relationship Id="rId895" Type="http://schemas.openxmlformats.org/officeDocument/2006/relationships/hyperlink" Target="mailto:obec@slatinanz.cz" TargetMode="External"/><Relationship Id="rId909" Type="http://schemas.openxmlformats.org/officeDocument/2006/relationships/hyperlink" Target="http://www.soberaz.cz/" TargetMode="External"/><Relationship Id="rId38" Type="http://schemas.openxmlformats.org/officeDocument/2006/relationships/hyperlink" Target="mailto:belec@wo.cz" TargetMode="External"/><Relationship Id="rId103" Type="http://schemas.openxmlformats.org/officeDocument/2006/relationships/hyperlink" Target="mailto:obec@racicenadtrotinou.cz" TargetMode="External"/><Relationship Id="rId310" Type="http://schemas.openxmlformats.org/officeDocument/2006/relationships/hyperlink" Target="mailto:starosta@teplicenadmetuji.cz" TargetMode="External"/><Relationship Id="rId548" Type="http://schemas.openxmlformats.org/officeDocument/2006/relationships/hyperlink" Target="http://www.ceskacermna.cz/" TargetMode="External"/><Relationship Id="rId755" Type="http://schemas.openxmlformats.org/officeDocument/2006/relationships/hyperlink" Target="http://www.malaupa.cz/" TargetMode="External"/><Relationship Id="rId962" Type="http://schemas.openxmlformats.org/officeDocument/2006/relationships/hyperlink" Target="http://www.trebesov.cz/" TargetMode="External"/><Relationship Id="rId91" Type="http://schemas.openxmlformats.org/officeDocument/2006/relationships/hyperlink" Target="mailto:obec@obedovice.cz" TargetMode="External"/><Relationship Id="rId187" Type="http://schemas.openxmlformats.org/officeDocument/2006/relationships/hyperlink" Target="mailto:ou.nevratice@seznam.cz" TargetMode="External"/><Relationship Id="rId394" Type="http://schemas.openxmlformats.org/officeDocument/2006/relationships/hyperlink" Target="mailto:obeczamel@obeczamel.cz" TargetMode="External"/><Relationship Id="rId408" Type="http://schemas.openxmlformats.org/officeDocument/2006/relationships/hyperlink" Target="mailto:starosta@dolnidvur.cz" TargetMode="External"/><Relationship Id="rId615" Type="http://schemas.openxmlformats.org/officeDocument/2006/relationships/hyperlink" Target="http://www.horineves.cz/" TargetMode="External"/><Relationship Id="rId822" Type="http://schemas.openxmlformats.org/officeDocument/2006/relationships/hyperlink" Target="http://www.osicky.cz/" TargetMode="External"/><Relationship Id="rId1038" Type="http://schemas.openxmlformats.org/officeDocument/2006/relationships/hyperlink" Target="http://www.zalonov.cz/" TargetMode="External"/><Relationship Id="rId254" Type="http://schemas.openxmlformats.org/officeDocument/2006/relationships/hyperlink" Target="mailto:starosta@brzice.cz" TargetMode="External"/><Relationship Id="rId699" Type="http://schemas.openxmlformats.org/officeDocument/2006/relationships/hyperlink" Target="http://www.lejsovka.cz/" TargetMode="External"/><Relationship Id="rId49" Type="http://schemas.openxmlformats.org/officeDocument/2006/relationships/hyperlink" Target="mailto:obec.hlusice@seznam.cz" TargetMode="External"/><Relationship Id="rId114" Type="http://schemas.openxmlformats.org/officeDocument/2006/relationships/hyperlink" Target="mailto:libor.6@seznam.cz" TargetMode="External"/><Relationship Id="rId461" Type="http://schemas.openxmlformats.org/officeDocument/2006/relationships/hyperlink" Target="mailto:ou.vilantice@vilantice.cz" TargetMode="External"/><Relationship Id="rId559" Type="http://schemas.openxmlformats.org/officeDocument/2006/relationships/hyperlink" Target="http://www.divec.cz/" TargetMode="External"/><Relationship Id="rId766" Type="http://schemas.openxmlformats.org/officeDocument/2006/relationships/hyperlink" Target="http://www.mezimesti.cz/" TargetMode="External"/><Relationship Id="rId198" Type="http://schemas.openxmlformats.org/officeDocument/2006/relationships/hyperlink" Target="mailto:ou.radim@centrum.cz" TargetMode="External"/><Relationship Id="rId321" Type="http://schemas.openxmlformats.org/officeDocument/2006/relationships/hyperlink" Target="mailto:urad@zabrodi.cz" TargetMode="External"/><Relationship Id="rId419" Type="http://schemas.openxmlformats.org/officeDocument/2006/relationships/hyperlink" Target="mailto:starosta@hornimarsov.cz" TargetMode="External"/><Relationship Id="rId626" Type="http://schemas.openxmlformats.org/officeDocument/2006/relationships/hyperlink" Target="http://www.humburky.cz/" TargetMode="External"/><Relationship Id="rId973" Type="http://schemas.openxmlformats.org/officeDocument/2006/relationships/hyperlink" Target="http://www.udrnice.cz/" TargetMode="External"/><Relationship Id="rId1049" Type="http://schemas.openxmlformats.org/officeDocument/2006/relationships/hyperlink" Target="http://www.obec-zlataolesnice.cz/" TargetMode="External"/><Relationship Id="rId833" Type="http://schemas.openxmlformats.org/officeDocument/2006/relationships/hyperlink" Target="mailto:starosta@pilnikov.cz;%20podatelna@pilnikov.cz" TargetMode="External"/><Relationship Id="rId265" Type="http://schemas.openxmlformats.org/officeDocument/2006/relationships/hyperlink" Target="mailto:obec@hermankovice.cz" TargetMode="External"/><Relationship Id="rId472" Type="http://schemas.openxmlformats.org/officeDocument/2006/relationships/hyperlink" Target="http://www.ou-babice.cz/" TargetMode="External"/><Relationship Id="rId900" Type="http://schemas.openxmlformats.org/officeDocument/2006/relationships/hyperlink" Target="http://www.slavonov.cz/" TargetMode="External"/><Relationship Id="rId125" Type="http://schemas.openxmlformats.org/officeDocument/2006/relationships/hyperlink" Target="mailto:urbanice@urbanice.cz" TargetMode="External"/><Relationship Id="rId332" Type="http://schemas.openxmlformats.org/officeDocument/2006/relationships/hyperlink" Target="mailto:z.praus@ou-castolovice.cz" TargetMode="External"/><Relationship Id="rId777" Type="http://schemas.openxmlformats.org/officeDocument/2006/relationships/hyperlink" Target="http://www.mokrovousy.cz/" TargetMode="External"/><Relationship Id="rId984" Type="http://schemas.openxmlformats.org/officeDocument/2006/relationships/hyperlink" Target="mailto:podatelna@vamberk-city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P476"/>
  <sheetViews>
    <sheetView tabSelected="1" zoomScale="110" zoomScaleNormal="110" workbookViewId="0">
      <pane xSplit="3" ySplit="5" topLeftCell="BH388" activePane="bottomRight" state="frozen"/>
      <selection pane="topRight" activeCell="D1" sqref="D1"/>
      <selection pane="bottomLeft" activeCell="A6" sqref="A6"/>
      <selection pane="bottomRight" activeCell="BT396" sqref="BT396"/>
    </sheetView>
  </sheetViews>
  <sheetFormatPr defaultColWidth="10.33203125" defaultRowHeight="13.8" x14ac:dyDescent="0.25"/>
  <cols>
    <col min="1" max="1" width="2.44140625" style="2" customWidth="1"/>
    <col min="2" max="2" width="5.109375" style="1" customWidth="1"/>
    <col min="3" max="3" width="26.33203125" style="8" customWidth="1"/>
    <col min="4" max="4" width="2.33203125" style="9" customWidth="1"/>
    <col min="5" max="5" width="29.5546875" style="7" customWidth="1"/>
    <col min="6" max="6" width="3.109375" style="9" customWidth="1"/>
    <col min="7" max="7" width="9.5546875" style="24" customWidth="1"/>
    <col min="8" max="9" width="10.44140625" style="24" customWidth="1"/>
    <col min="10" max="10" width="16.77734375" style="21" customWidth="1"/>
    <col min="11" max="11" width="14.44140625" style="102" customWidth="1"/>
    <col min="12" max="12" width="7" style="13" customWidth="1"/>
    <col min="13" max="13" width="4.77734375" style="2" customWidth="1"/>
    <col min="14" max="14" width="12.88671875" style="12" customWidth="1"/>
    <col min="15" max="15" width="10.5546875" style="2" customWidth="1"/>
    <col min="16" max="16" width="7" style="13" customWidth="1"/>
    <col min="17" max="17" width="4.44140625" style="2" hidden="1" customWidth="1"/>
    <col min="18" max="18" width="11.77734375" style="2" hidden="1" customWidth="1"/>
    <col min="19" max="19" width="10.21875" style="2" hidden="1" customWidth="1"/>
    <col min="20" max="20" width="7" style="15" hidden="1" customWidth="1"/>
    <col min="21" max="21" width="8.33203125" style="18" customWidth="1"/>
    <col min="22" max="23" width="6.6640625" style="48" customWidth="1"/>
    <col min="24" max="24" width="8.33203125" style="18" customWidth="1"/>
    <col min="25" max="26" width="6.6640625" style="48" customWidth="1"/>
    <col min="27" max="27" width="8.21875" style="18" customWidth="1"/>
    <col min="28" max="29" width="6.6640625" style="48" customWidth="1"/>
    <col min="30" max="30" width="10.21875" style="17" customWidth="1"/>
    <col min="31" max="31" width="8.88671875" style="51" customWidth="1"/>
    <col min="32" max="32" width="6.6640625" style="196" customWidth="1"/>
    <col min="33" max="33" width="4.33203125" style="118" customWidth="1"/>
    <col min="34" max="34" width="4.109375" style="183" customWidth="1"/>
    <col min="35" max="35" width="6.33203125" style="24" customWidth="1"/>
    <col min="36" max="36" width="5" style="24" customWidth="1"/>
    <col min="37" max="39" width="5.109375" style="24" customWidth="1"/>
    <col min="40" max="40" width="3.88671875" style="24" customWidth="1"/>
    <col min="41" max="41" width="7.109375" style="23" customWidth="1"/>
    <col min="42" max="42" width="5" style="23" customWidth="1"/>
    <col min="43" max="43" width="5.33203125" style="23" customWidth="1"/>
    <col min="44" max="44" width="5.109375" style="160" customWidth="1"/>
    <col min="45" max="45" width="5.21875" style="161" customWidth="1"/>
    <col min="46" max="46" width="5.109375" style="23" customWidth="1"/>
    <col min="47" max="50" width="5.21875" style="23" customWidth="1"/>
    <col min="51" max="53" width="3.77734375" style="275" customWidth="1"/>
    <col min="54" max="54" width="3.77734375" style="23" customWidth="1"/>
    <col min="55" max="55" width="4.21875" style="19" customWidth="1"/>
    <col min="56" max="56" width="5.109375" style="253" customWidth="1"/>
    <col min="57" max="57" width="4.109375" style="253" customWidth="1"/>
    <col min="58" max="58" width="4.109375" style="251" customWidth="1"/>
    <col min="59" max="59" width="3.88671875" style="252" customWidth="1"/>
    <col min="60" max="60" width="3.6640625" style="10" customWidth="1"/>
    <col min="61" max="61" width="3.77734375" style="239" customWidth="1"/>
    <col min="62" max="62" width="3.77734375" style="21" customWidth="1"/>
    <col min="63" max="63" width="3.77734375" style="13" customWidth="1"/>
    <col min="64" max="64" width="3.77734375" style="10" customWidth="1"/>
    <col min="65" max="65" width="5.33203125" style="21" customWidth="1"/>
    <col min="66" max="66" width="6.77734375" style="10" customWidth="1"/>
    <col min="67" max="67" width="4.33203125" style="21" customWidth="1"/>
    <col min="68" max="68" width="4.44140625" style="10" customWidth="1"/>
    <col min="69" max="69" width="3.5546875" style="10" customWidth="1"/>
    <col min="70" max="16384" width="10.33203125" style="2"/>
  </cols>
  <sheetData>
    <row r="1" spans="1:70" ht="18" customHeight="1" x14ac:dyDescent="0.25">
      <c r="A1" s="365" t="s">
        <v>1705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365"/>
      <c r="AO1" s="365"/>
      <c r="AP1" s="365"/>
      <c r="AQ1" s="365"/>
      <c r="AR1" s="365"/>
      <c r="AS1" s="365"/>
      <c r="AT1" s="365"/>
      <c r="AU1" s="365"/>
      <c r="AV1" s="365"/>
      <c r="AW1" s="365"/>
      <c r="AX1" s="365"/>
      <c r="AY1" s="365"/>
      <c r="AZ1" s="365"/>
      <c r="BA1" s="365"/>
      <c r="BB1" s="365"/>
      <c r="BN1" s="10" t="s">
        <v>457</v>
      </c>
    </row>
    <row r="2" spans="1:70" s="11" customFormat="1" ht="13.8" customHeight="1" thickBot="1" x14ac:dyDescent="0.25">
      <c r="A2" s="366" t="s">
        <v>515</v>
      </c>
      <c r="B2" s="366"/>
      <c r="C2" s="366"/>
      <c r="D2" s="366"/>
      <c r="E2" s="366"/>
      <c r="F2" s="366"/>
      <c r="G2" s="366"/>
      <c r="H2" s="366"/>
      <c r="I2" s="366"/>
      <c r="J2" s="395" t="s">
        <v>516</v>
      </c>
      <c r="K2" s="395"/>
      <c r="L2" s="395"/>
      <c r="M2" s="396"/>
      <c r="N2" s="396"/>
      <c r="O2" s="396"/>
      <c r="P2" s="397"/>
      <c r="Q2" s="174" t="s">
        <v>457</v>
      </c>
      <c r="R2" s="175" t="s">
        <v>457</v>
      </c>
      <c r="S2" s="175"/>
      <c r="T2" s="175"/>
      <c r="U2" s="374" t="s">
        <v>1706</v>
      </c>
      <c r="V2" s="374"/>
      <c r="W2" s="374"/>
      <c r="X2" s="374"/>
      <c r="Y2" s="374"/>
      <c r="Z2" s="374"/>
      <c r="AA2" s="374"/>
      <c r="AB2" s="374"/>
      <c r="AC2" s="374"/>
      <c r="AD2" s="374"/>
      <c r="AE2" s="374"/>
      <c r="AF2" s="374"/>
      <c r="AG2" s="374"/>
      <c r="AH2" s="374"/>
      <c r="AI2" s="386" t="s">
        <v>1697</v>
      </c>
      <c r="AJ2" s="387"/>
      <c r="AK2" s="387"/>
      <c r="AL2" s="387"/>
      <c r="AM2" s="387"/>
      <c r="AN2" s="387"/>
      <c r="AO2" s="387"/>
      <c r="AP2" s="387"/>
      <c r="AQ2" s="387"/>
      <c r="AR2" s="387"/>
      <c r="AS2" s="387"/>
      <c r="AT2" s="387"/>
      <c r="AU2" s="387"/>
      <c r="AV2" s="387"/>
      <c r="AW2" s="387"/>
      <c r="AX2" s="387"/>
      <c r="AY2" s="387"/>
      <c r="AZ2" s="387"/>
      <c r="BA2" s="387"/>
      <c r="BB2" s="388"/>
      <c r="BC2" s="296"/>
      <c r="BD2" s="408" t="s">
        <v>559</v>
      </c>
      <c r="BE2" s="408"/>
      <c r="BF2" s="408"/>
      <c r="BG2" s="408"/>
      <c r="BH2" s="408"/>
      <c r="BI2" s="408"/>
      <c r="BJ2" s="408"/>
      <c r="BK2" s="408"/>
      <c r="BL2" s="408"/>
      <c r="BM2" s="408"/>
      <c r="BN2" s="408"/>
      <c r="BO2" s="408"/>
      <c r="BP2" s="408"/>
      <c r="BQ2" s="408"/>
    </row>
    <row r="3" spans="1:70" s="11" customFormat="1" ht="13.8" customHeight="1" x14ac:dyDescent="0.25">
      <c r="A3" s="367" t="s">
        <v>534</v>
      </c>
      <c r="B3" s="363" t="s">
        <v>0</v>
      </c>
      <c r="C3" s="362" t="s">
        <v>521</v>
      </c>
      <c r="D3" s="368" t="s">
        <v>458</v>
      </c>
      <c r="E3" s="369" t="s">
        <v>469</v>
      </c>
      <c r="F3" s="381" t="s">
        <v>451</v>
      </c>
      <c r="G3" s="370" t="s">
        <v>4</v>
      </c>
      <c r="H3" s="370" t="s">
        <v>5</v>
      </c>
      <c r="I3" s="385" t="s">
        <v>1</v>
      </c>
      <c r="J3" s="382" t="s">
        <v>517</v>
      </c>
      <c r="K3" s="383" t="s">
        <v>518</v>
      </c>
      <c r="L3" s="384" t="s">
        <v>519</v>
      </c>
      <c r="M3" s="371" t="s">
        <v>520</v>
      </c>
      <c r="N3" s="372"/>
      <c r="O3" s="372"/>
      <c r="P3" s="373"/>
      <c r="Q3" s="375" t="s">
        <v>539</v>
      </c>
      <c r="R3" s="375"/>
      <c r="S3" s="375"/>
      <c r="T3" s="375"/>
      <c r="U3" s="376" t="s">
        <v>545</v>
      </c>
      <c r="V3" s="377"/>
      <c r="W3" s="378"/>
      <c r="X3" s="379" t="s">
        <v>544</v>
      </c>
      <c r="Y3" s="377"/>
      <c r="Z3" s="378"/>
      <c r="AA3" s="379" t="s">
        <v>543</v>
      </c>
      <c r="AB3" s="377"/>
      <c r="AC3" s="380"/>
      <c r="AD3" s="400" t="s">
        <v>549</v>
      </c>
      <c r="AE3" s="401"/>
      <c r="AF3" s="402"/>
      <c r="AG3" s="403" t="s">
        <v>892</v>
      </c>
      <c r="AH3" s="404"/>
      <c r="AI3" s="392" t="s">
        <v>1698</v>
      </c>
      <c r="AJ3" s="393"/>
      <c r="AK3" s="389" t="s">
        <v>2502</v>
      </c>
      <c r="AL3" s="390"/>
      <c r="AM3" s="390"/>
      <c r="AN3" s="391"/>
      <c r="AO3" s="394" t="s">
        <v>602</v>
      </c>
      <c r="AP3" s="394"/>
      <c r="AQ3" s="364" t="s">
        <v>1699</v>
      </c>
      <c r="AR3" s="364"/>
      <c r="AS3" s="364"/>
      <c r="AT3" s="364"/>
      <c r="AU3" s="398" t="s">
        <v>1700</v>
      </c>
      <c r="AV3" s="399"/>
      <c r="AW3" s="399"/>
      <c r="AX3" s="405" t="s">
        <v>2477</v>
      </c>
      <c r="AY3" s="406"/>
      <c r="AZ3" s="406"/>
      <c r="BA3" s="406"/>
      <c r="BB3" s="407"/>
      <c r="BC3" s="295"/>
      <c r="BD3" s="409" t="s">
        <v>2481</v>
      </c>
      <c r="BE3" s="409"/>
      <c r="BF3" s="409"/>
      <c r="BG3" s="409"/>
      <c r="BH3" s="409"/>
      <c r="BI3" s="409"/>
      <c r="BJ3" s="409" t="s">
        <v>2482</v>
      </c>
      <c r="BK3" s="409"/>
      <c r="BL3" s="410" t="s">
        <v>2483</v>
      </c>
      <c r="BM3" s="411"/>
      <c r="BN3" s="412"/>
      <c r="BO3" s="413" t="s">
        <v>2484</v>
      </c>
      <c r="BP3" s="409"/>
      <c r="BQ3" s="409"/>
    </row>
    <row r="4" spans="1:70" s="6" customFormat="1" ht="49.2" customHeight="1" x14ac:dyDescent="0.25">
      <c r="A4" s="367"/>
      <c r="B4" s="363"/>
      <c r="C4" s="362"/>
      <c r="D4" s="368"/>
      <c r="E4" s="369"/>
      <c r="F4" s="381"/>
      <c r="G4" s="370"/>
      <c r="H4" s="370"/>
      <c r="I4" s="385"/>
      <c r="J4" s="382"/>
      <c r="K4" s="383"/>
      <c r="L4" s="384"/>
      <c r="M4" s="107" t="s">
        <v>522</v>
      </c>
      <c r="N4" s="40" t="s">
        <v>523</v>
      </c>
      <c r="O4" s="103" t="s">
        <v>518</v>
      </c>
      <c r="P4" s="41" t="s">
        <v>519</v>
      </c>
      <c r="Q4" s="36" t="s">
        <v>522</v>
      </c>
      <c r="R4" s="37" t="s">
        <v>523</v>
      </c>
      <c r="S4" s="113" t="s">
        <v>518</v>
      </c>
      <c r="T4" s="167" t="s">
        <v>519</v>
      </c>
      <c r="U4" s="26" t="s">
        <v>546</v>
      </c>
      <c r="V4" s="52" t="s">
        <v>547</v>
      </c>
      <c r="W4" s="49" t="s">
        <v>548</v>
      </c>
      <c r="X4" s="25" t="s">
        <v>546</v>
      </c>
      <c r="Y4" s="52" t="s">
        <v>547</v>
      </c>
      <c r="Z4" s="49" t="s">
        <v>548</v>
      </c>
      <c r="AA4" s="25" t="s">
        <v>546</v>
      </c>
      <c r="AB4" s="52" t="s">
        <v>547</v>
      </c>
      <c r="AC4" s="50" t="s">
        <v>548</v>
      </c>
      <c r="AD4" s="26" t="s">
        <v>546</v>
      </c>
      <c r="AE4" s="52" t="s">
        <v>547</v>
      </c>
      <c r="AF4" s="191" t="s">
        <v>548</v>
      </c>
      <c r="AG4" s="187" t="s">
        <v>891</v>
      </c>
      <c r="AH4" s="178" t="s">
        <v>898</v>
      </c>
      <c r="AI4" s="176" t="s">
        <v>3</v>
      </c>
      <c r="AJ4" s="122" t="s">
        <v>2</v>
      </c>
      <c r="AK4" s="153" t="s">
        <v>1934</v>
      </c>
      <c r="AL4" s="218" t="s">
        <v>2069</v>
      </c>
      <c r="AM4" s="218" t="s">
        <v>2074</v>
      </c>
      <c r="AN4" s="209" t="s">
        <v>2073</v>
      </c>
      <c r="AO4" s="151" t="s">
        <v>1695</v>
      </c>
      <c r="AP4" s="245" t="s">
        <v>1696</v>
      </c>
      <c r="AQ4" s="318" t="s">
        <v>2172</v>
      </c>
      <c r="AR4" s="155" t="s">
        <v>2173</v>
      </c>
      <c r="AS4" s="317" t="s">
        <v>1229</v>
      </c>
      <c r="AT4" s="163" t="s">
        <v>1228</v>
      </c>
      <c r="AU4" s="197" t="s">
        <v>1701</v>
      </c>
      <c r="AV4" s="198" t="s">
        <v>1704</v>
      </c>
      <c r="AW4" s="199" t="s">
        <v>1703</v>
      </c>
      <c r="AX4" s="276" t="s">
        <v>1702</v>
      </c>
      <c r="AY4" s="292" t="s">
        <v>2478</v>
      </c>
      <c r="AZ4" s="293" t="s">
        <v>2480</v>
      </c>
      <c r="BA4" s="294" t="s">
        <v>2479</v>
      </c>
      <c r="BB4" s="290" t="s">
        <v>2075</v>
      </c>
      <c r="BC4" s="304" t="s">
        <v>550</v>
      </c>
      <c r="BD4" s="297" t="s">
        <v>1787</v>
      </c>
      <c r="BE4" s="298" t="s">
        <v>1726</v>
      </c>
      <c r="BF4" s="299" t="s">
        <v>1725</v>
      </c>
      <c r="BG4" s="300" t="s">
        <v>2071</v>
      </c>
      <c r="BH4" s="301" t="s">
        <v>2072</v>
      </c>
      <c r="BI4" s="302" t="s">
        <v>2070</v>
      </c>
      <c r="BJ4" s="305" t="s">
        <v>551</v>
      </c>
      <c r="BK4" s="306" t="s">
        <v>552</v>
      </c>
      <c r="BL4" s="319" t="s">
        <v>1736</v>
      </c>
      <c r="BM4" s="320" t="s">
        <v>554</v>
      </c>
      <c r="BN4" s="321" t="s">
        <v>555</v>
      </c>
      <c r="BO4" s="145" t="s">
        <v>745</v>
      </c>
      <c r="BP4" s="14" t="s">
        <v>553</v>
      </c>
      <c r="BQ4" s="14" t="s">
        <v>1727</v>
      </c>
    </row>
    <row r="5" spans="1:70" s="35" customFormat="1" ht="19.2" customHeight="1" thickBot="1" x14ac:dyDescent="0.3">
      <c r="A5" s="27" t="s">
        <v>573</v>
      </c>
      <c r="B5" s="28" t="s">
        <v>2476</v>
      </c>
      <c r="C5" s="29" t="s">
        <v>572</v>
      </c>
      <c r="D5" s="30">
        <f>SUM(D6:D453)</f>
        <v>1072</v>
      </c>
      <c r="E5" s="31"/>
      <c r="F5" s="44" t="s">
        <v>581</v>
      </c>
      <c r="G5" s="45" t="s">
        <v>582</v>
      </c>
      <c r="H5" s="45" t="s">
        <v>583</v>
      </c>
      <c r="I5" s="46" t="s">
        <v>584</v>
      </c>
      <c r="J5" s="32"/>
      <c r="K5" s="98"/>
      <c r="L5" s="111"/>
      <c r="M5" s="108"/>
      <c r="N5" s="42"/>
      <c r="O5" s="104"/>
      <c r="P5" s="43"/>
      <c r="Q5" s="38"/>
      <c r="R5" s="39"/>
      <c r="S5" s="114"/>
      <c r="T5" s="168"/>
      <c r="U5" s="169">
        <f>SUM(U6:U453)</f>
        <v>140859828</v>
      </c>
      <c r="V5" s="53">
        <f>(SUM(U6:U453)/AI5)</f>
        <v>255.46546968089447</v>
      </c>
      <c r="W5" s="139">
        <f>(SUM(U6:U453)/AJ5)</f>
        <v>295.99754389402455</v>
      </c>
      <c r="X5" s="142">
        <f>SUM(X6:X453)</f>
        <v>109666153</v>
      </c>
      <c r="Y5" s="53">
        <f>(SUM(X6:X453)/AI5)</f>
        <v>198.89215883638474</v>
      </c>
      <c r="Z5" s="139">
        <f>(SUM(X6:X453)/AJ5)</f>
        <v>230.44832864843701</v>
      </c>
      <c r="AA5" s="33">
        <f>SUM(AA6:AA453)</f>
        <v>83297172</v>
      </c>
      <c r="AB5" s="53">
        <f>(SUM(AA6:AA453)/AI5)</f>
        <v>151.0689844663892</v>
      </c>
      <c r="AC5" s="136">
        <f>(SUM(AA6:AA453)/AJ5)</f>
        <v>175.03754388595527</v>
      </c>
      <c r="AD5" s="47">
        <f>SUM(AD6:AD453)</f>
        <v>333823153</v>
      </c>
      <c r="AE5" s="54">
        <f>(SUM(AD6:AD453)/AI5)</f>
        <v>605.42661298366841</v>
      </c>
      <c r="AF5" s="192">
        <f>(SUM(AD6:AD453)/AJ5)</f>
        <v>701.48341642841683</v>
      </c>
      <c r="AG5" s="184">
        <f>1/(AO5*5000000/AD5)</f>
        <v>6.7894717809524087E-3</v>
      </c>
      <c r="AH5" s="179">
        <f>1/(AP5*5000000/AD5)</f>
        <v>2.4035386231515736E-2</v>
      </c>
      <c r="AI5" s="177">
        <f>SUM(AI6:AI453)</f>
        <v>551385</v>
      </c>
      <c r="AJ5" s="129">
        <f>SUM(AJ6:AJ453)</f>
        <v>475881.74599999987</v>
      </c>
      <c r="AK5" s="154">
        <f>SUM(AK6:AK453)</f>
        <v>169709</v>
      </c>
      <c r="AL5" s="210">
        <v>109736</v>
      </c>
      <c r="AM5" s="219">
        <v>52.1</v>
      </c>
      <c r="AN5" s="211">
        <v>5.18</v>
      </c>
      <c r="AO5" s="152">
        <f>SUM(AO6:AO453)</f>
        <v>9833.5530000000144</v>
      </c>
      <c r="AP5" s="244">
        <f>SUM(AP6:AP453)</f>
        <v>2777.7639999999965</v>
      </c>
      <c r="AQ5" s="165">
        <f t="shared" ref="AQ5" si="0">AI5/AR5</f>
        <v>0.99742406509300685</v>
      </c>
      <c r="AR5" s="156">
        <f>SUM(AR6:AR453)</f>
        <v>552809</v>
      </c>
      <c r="AS5" s="157">
        <f t="shared" ref="AS5" si="1">AI5/AT5</f>
        <v>0.84211000571196426</v>
      </c>
      <c r="AT5" s="164">
        <f>SUM(AT6:AT453)</f>
        <v>654766</v>
      </c>
      <c r="AU5" s="277">
        <v>0.1515</v>
      </c>
      <c r="AV5" s="278">
        <v>0.65259999999999996</v>
      </c>
      <c r="AW5" s="279">
        <v>0.19589999999999999</v>
      </c>
      <c r="AX5" s="280">
        <v>4.8599999999999997E-2</v>
      </c>
      <c r="AY5" s="287">
        <v>3.5999999999999997E-2</v>
      </c>
      <c r="AZ5" s="288">
        <v>0.43099999999999999</v>
      </c>
      <c r="BA5" s="289">
        <v>0.53300000000000003</v>
      </c>
      <c r="BB5" s="291">
        <v>0.51600000000000001</v>
      </c>
      <c r="BC5" s="303"/>
      <c r="BD5" s="265">
        <v>0.91290000000000004</v>
      </c>
      <c r="BE5" s="266">
        <v>0.79239999999999999</v>
      </c>
      <c r="BF5" s="267">
        <v>0.3906</v>
      </c>
      <c r="BG5" s="268">
        <v>0.73089999999999999</v>
      </c>
      <c r="BH5" s="240">
        <v>0.62050000000000005</v>
      </c>
      <c r="BI5" s="240">
        <v>0.54690000000000005</v>
      </c>
      <c r="BJ5" s="315"/>
      <c r="BK5" s="316"/>
      <c r="BL5" s="329"/>
      <c r="BM5" s="330"/>
      <c r="BN5" s="331"/>
      <c r="BO5" s="146"/>
      <c r="BP5" s="34"/>
      <c r="BQ5" s="34"/>
    </row>
    <row r="6" spans="1:70" s="56" customFormat="1" ht="13.95" customHeight="1" thickTop="1" x14ac:dyDescent="0.3">
      <c r="A6" s="56" t="s">
        <v>459</v>
      </c>
      <c r="B6" s="57" t="s">
        <v>462</v>
      </c>
      <c r="C6" s="55" t="s">
        <v>222</v>
      </c>
      <c r="D6" s="58">
        <v>2</v>
      </c>
      <c r="E6" s="59" t="s">
        <v>636</v>
      </c>
      <c r="F6" s="60" t="s">
        <v>454</v>
      </c>
      <c r="G6" s="61" t="s">
        <v>223</v>
      </c>
      <c r="H6" s="61" t="s">
        <v>1226</v>
      </c>
      <c r="I6" s="62" t="s">
        <v>1226</v>
      </c>
      <c r="J6" s="63" t="s">
        <v>1721</v>
      </c>
      <c r="K6" s="99" t="s">
        <v>1390</v>
      </c>
      <c r="L6" s="130">
        <v>491586038</v>
      </c>
      <c r="M6" s="109" t="s">
        <v>564</v>
      </c>
      <c r="N6" s="12" t="s">
        <v>1248</v>
      </c>
      <c r="O6" s="100"/>
      <c r="P6" s="131">
        <v>604206640</v>
      </c>
      <c r="Q6" s="67"/>
      <c r="R6" s="68"/>
      <c r="S6" s="99"/>
      <c r="T6" s="65"/>
      <c r="U6" s="170">
        <v>0</v>
      </c>
      <c r="V6" s="48">
        <f t="shared" ref="V6:V69" si="2">IF(U6=0,0,U6/AI6)</f>
        <v>0</v>
      </c>
      <c r="W6" s="171">
        <f t="shared" ref="W6:W69" si="3">IF(U6=0,0,U6/AJ6)</f>
        <v>0</v>
      </c>
      <c r="X6" s="69">
        <f>301256+71000</f>
        <v>372256</v>
      </c>
      <c r="Y6" s="48">
        <f t="shared" ref="Y6:Y69" si="4">IF(X6=0,0,X6/AI6)</f>
        <v>724.23346303501944</v>
      </c>
      <c r="Z6" s="137">
        <f t="shared" ref="Z6:Z69" si="5">IF(X6=0,0,X6/AJ6)</f>
        <v>188.81848401972121</v>
      </c>
      <c r="AA6" s="69">
        <v>0</v>
      </c>
      <c r="AB6" s="48">
        <f t="shared" ref="AB6:AB69" si="6">IF(AA6=0,0,AA6/AI6)</f>
        <v>0</v>
      </c>
      <c r="AC6" s="137">
        <f t="shared" ref="AC6:AC69" si="7">IF(AA6=0,0,AA6/AJ6)</f>
        <v>0</v>
      </c>
      <c r="AD6" s="70">
        <f t="shared" ref="AD6:AD69" si="8">IF(U6+X6+AA6=0,0,U6+X6+AA6)</f>
        <v>372256</v>
      </c>
      <c r="AE6" s="71">
        <f t="shared" ref="AE6:AE69" si="9">IF(AD6=0,0,AD6/AI6)</f>
        <v>724.23346303501944</v>
      </c>
      <c r="AF6" s="193">
        <f t="shared" ref="AF6:AF69" si="10">IF(AD6=0,0,AD6/AJ6)</f>
        <v>188.81848401972121</v>
      </c>
      <c r="AG6" s="185">
        <f t="shared" ref="AG6:AG69" si="11">IF(AD6=0,0,1/(AO6*5000000/AD6))</f>
        <v>2.5412567839710552E-3</v>
      </c>
      <c r="AH6" s="180">
        <f t="shared" ref="AH6:AH37" si="12">IF(AD6=0,0,1/(AP6*5000000/AD6))</f>
        <v>5.8549229317395408E-3</v>
      </c>
      <c r="AI6" s="188">
        <v>514</v>
      </c>
      <c r="AJ6" s="125">
        <v>1971.5019</v>
      </c>
      <c r="AK6" s="335">
        <v>215</v>
      </c>
      <c r="AL6" s="220">
        <v>110</v>
      </c>
      <c r="AM6" s="215">
        <v>48.780487804878049</v>
      </c>
      <c r="AN6" s="212">
        <v>17.95774647887324</v>
      </c>
      <c r="AO6" s="336">
        <v>29.297000000000001</v>
      </c>
      <c r="AP6" s="337">
        <v>12.715999999999999</v>
      </c>
      <c r="AQ6" s="223">
        <f t="shared" ref="AQ6:AQ69" si="13">AI6/AR6</f>
        <v>0.96074766355140184</v>
      </c>
      <c r="AR6" s="162">
        <v>535</v>
      </c>
      <c r="AS6" s="227">
        <f t="shared" ref="AS6:AS69" si="14">AI6/AT6</f>
        <v>0.34496644295302015</v>
      </c>
      <c r="AT6" s="228">
        <v>1490</v>
      </c>
      <c r="AU6" s="200">
        <v>11.673151750972762</v>
      </c>
      <c r="AV6" s="201">
        <v>71.789883268482498</v>
      </c>
      <c r="AW6" s="202">
        <v>16.536964980544745</v>
      </c>
      <c r="AX6" s="232">
        <v>5.2770000000000001</v>
      </c>
      <c r="AY6" s="281">
        <v>3.6585365853658534</v>
      </c>
      <c r="AZ6" s="282">
        <v>52.845528455284551</v>
      </c>
      <c r="BA6" s="283">
        <f t="shared" ref="BA6:BA69" si="15">100-AY6-AZ6</f>
        <v>43.495934959349597</v>
      </c>
      <c r="BB6" s="233">
        <v>8.9005235602094253</v>
      </c>
      <c r="BC6" s="20">
        <v>2010</v>
      </c>
      <c r="BD6" s="270" t="s">
        <v>556</v>
      </c>
      <c r="BE6" s="271" t="s">
        <v>556</v>
      </c>
      <c r="BF6" s="357" t="s">
        <v>556</v>
      </c>
      <c r="BG6" s="255">
        <v>70.901639344262293</v>
      </c>
      <c r="BH6" s="358" t="s">
        <v>557</v>
      </c>
      <c r="BI6" s="247">
        <v>0</v>
      </c>
      <c r="BJ6" s="359" t="s">
        <v>556</v>
      </c>
      <c r="BK6" s="314" t="s">
        <v>750</v>
      </c>
      <c r="BL6" s="326" t="s">
        <v>1728</v>
      </c>
      <c r="BM6" s="327" t="s">
        <v>556</v>
      </c>
      <c r="BN6" s="328" t="s">
        <v>1957</v>
      </c>
      <c r="BO6" s="145" t="s">
        <v>556</v>
      </c>
      <c r="BP6" s="14" t="s">
        <v>557</v>
      </c>
      <c r="BQ6" s="14" t="s">
        <v>556</v>
      </c>
    </row>
    <row r="7" spans="1:70" s="56" customFormat="1" ht="13.95" customHeight="1" x14ac:dyDescent="0.3">
      <c r="A7" s="56" t="s">
        <v>459</v>
      </c>
      <c r="B7" s="57" t="s">
        <v>462</v>
      </c>
      <c r="C7" s="55" t="s">
        <v>300</v>
      </c>
      <c r="D7" s="58">
        <v>1</v>
      </c>
      <c r="E7" s="59"/>
      <c r="F7" s="60" t="s">
        <v>455</v>
      </c>
      <c r="G7" s="61" t="s">
        <v>529</v>
      </c>
      <c r="H7" s="61" t="s">
        <v>530</v>
      </c>
      <c r="I7" s="62" t="s">
        <v>530</v>
      </c>
      <c r="J7" s="63" t="s">
        <v>1729</v>
      </c>
      <c r="K7" s="99" t="s">
        <v>792</v>
      </c>
      <c r="L7" s="130">
        <v>494371425</v>
      </c>
      <c r="M7" s="109" t="s">
        <v>564</v>
      </c>
      <c r="N7" s="12" t="s">
        <v>1395</v>
      </c>
      <c r="O7" s="100"/>
      <c r="P7" s="131">
        <v>725081092</v>
      </c>
      <c r="Q7" s="67"/>
      <c r="R7" s="68"/>
      <c r="S7" s="99"/>
      <c r="T7" s="65"/>
      <c r="U7" s="170">
        <v>95000</v>
      </c>
      <c r="V7" s="48">
        <f t="shared" si="2"/>
        <v>96.544715447154474</v>
      </c>
      <c r="W7" s="171">
        <f t="shared" si="3"/>
        <v>181.73091619737048</v>
      </c>
      <c r="X7" s="69">
        <v>99800</v>
      </c>
      <c r="Y7" s="48">
        <f t="shared" si="4"/>
        <v>101.42276422764228</v>
      </c>
      <c r="Z7" s="137">
        <f t="shared" si="5"/>
        <v>190.91310985786922</v>
      </c>
      <c r="AA7" s="69">
        <v>0</v>
      </c>
      <c r="AB7" s="48">
        <f t="shared" si="6"/>
        <v>0</v>
      </c>
      <c r="AC7" s="137">
        <f t="shared" si="7"/>
        <v>0</v>
      </c>
      <c r="AD7" s="70">
        <f t="shared" si="8"/>
        <v>194800</v>
      </c>
      <c r="AE7" s="71">
        <f t="shared" si="9"/>
        <v>197.96747967479675</v>
      </c>
      <c r="AF7" s="193">
        <f t="shared" si="10"/>
        <v>372.64402605523969</v>
      </c>
      <c r="AG7" s="185">
        <f t="shared" si="11"/>
        <v>4.2014450555375822E-3</v>
      </c>
      <c r="AH7" s="180">
        <f t="shared" si="12"/>
        <v>2.6395663956639562E-2</v>
      </c>
      <c r="AI7" s="189">
        <v>984</v>
      </c>
      <c r="AJ7" s="125">
        <v>522.7509</v>
      </c>
      <c r="AK7" s="149">
        <v>347</v>
      </c>
      <c r="AL7" s="221">
        <v>294</v>
      </c>
      <c r="AM7" s="216">
        <v>93.871866295264624</v>
      </c>
      <c r="AN7" s="213">
        <v>1.4814814814814816</v>
      </c>
      <c r="AO7" s="127">
        <v>9.2729999999999997</v>
      </c>
      <c r="AP7" s="133">
        <v>1.476</v>
      </c>
      <c r="AQ7" s="224">
        <f t="shared" si="13"/>
        <v>0.97233201581027673</v>
      </c>
      <c r="AR7" s="158">
        <v>1012</v>
      </c>
      <c r="AS7" s="229">
        <f t="shared" si="14"/>
        <v>1.0765864332603938</v>
      </c>
      <c r="AT7" s="230">
        <v>914</v>
      </c>
      <c r="AU7" s="203">
        <v>13.008130081300814</v>
      </c>
      <c r="AV7" s="204">
        <v>65.447154471544707</v>
      </c>
      <c r="AW7" s="205">
        <v>21.544715447154474</v>
      </c>
      <c r="AX7" s="123">
        <v>1.3332999999999999</v>
      </c>
      <c r="AY7" s="281">
        <v>4.4117647058823533</v>
      </c>
      <c r="AZ7" s="282">
        <v>33.613445378151262</v>
      </c>
      <c r="BA7" s="283">
        <f t="shared" si="15"/>
        <v>61.97478991596639</v>
      </c>
      <c r="BB7" s="234">
        <v>82.700421940928265</v>
      </c>
      <c r="BC7" s="20">
        <v>2013</v>
      </c>
      <c r="BD7" s="263" t="s">
        <v>556</v>
      </c>
      <c r="BE7" s="261" t="s">
        <v>556</v>
      </c>
      <c r="BF7" s="259" t="s">
        <v>556</v>
      </c>
      <c r="BG7" s="256">
        <v>25.490196078431371</v>
      </c>
      <c r="BH7" s="248" t="s">
        <v>556</v>
      </c>
      <c r="BI7" s="249">
        <v>73.471615720524014</v>
      </c>
      <c r="BJ7" s="308" t="s">
        <v>556</v>
      </c>
      <c r="BK7" s="307" t="s">
        <v>750</v>
      </c>
      <c r="BL7" s="319" t="s">
        <v>1728</v>
      </c>
      <c r="BM7" s="320" t="s">
        <v>556</v>
      </c>
      <c r="BN7" s="321" t="s">
        <v>1847</v>
      </c>
      <c r="BO7" s="145" t="s">
        <v>556</v>
      </c>
      <c r="BP7" s="14" t="s">
        <v>556</v>
      </c>
      <c r="BQ7" s="14" t="s">
        <v>557</v>
      </c>
    </row>
    <row r="8" spans="1:70" s="72" customFormat="1" ht="13.95" customHeight="1" x14ac:dyDescent="0.3">
      <c r="A8" s="56" t="s">
        <v>459</v>
      </c>
      <c r="B8" s="57" t="s">
        <v>462</v>
      </c>
      <c r="C8" s="55" t="s">
        <v>6</v>
      </c>
      <c r="D8" s="58">
        <v>1</v>
      </c>
      <c r="E8" s="97" t="s">
        <v>607</v>
      </c>
      <c r="F8" s="60" t="s">
        <v>452</v>
      </c>
      <c r="G8" s="61" t="s">
        <v>7</v>
      </c>
      <c r="H8" s="61" t="s">
        <v>7</v>
      </c>
      <c r="I8" s="62" t="s">
        <v>524</v>
      </c>
      <c r="J8" s="63" t="s">
        <v>1730</v>
      </c>
      <c r="K8" s="99" t="s">
        <v>793</v>
      </c>
      <c r="L8" s="130">
        <v>495444223</v>
      </c>
      <c r="M8" s="109" t="s">
        <v>564</v>
      </c>
      <c r="N8" s="12" t="s">
        <v>794</v>
      </c>
      <c r="O8" s="100"/>
      <c r="P8" s="131">
        <v>725081244</v>
      </c>
      <c r="Q8" s="67"/>
      <c r="R8" s="68"/>
      <c r="S8" s="99"/>
      <c r="T8" s="65"/>
      <c r="U8" s="170">
        <v>0</v>
      </c>
      <c r="V8" s="48">
        <f t="shared" si="2"/>
        <v>0</v>
      </c>
      <c r="W8" s="171">
        <f t="shared" si="3"/>
        <v>0</v>
      </c>
      <c r="X8" s="69">
        <v>0</v>
      </c>
      <c r="Y8" s="48">
        <f t="shared" si="4"/>
        <v>0</v>
      </c>
      <c r="Z8" s="137">
        <f t="shared" si="5"/>
        <v>0</v>
      </c>
      <c r="AA8" s="69">
        <v>0</v>
      </c>
      <c r="AB8" s="48">
        <f t="shared" si="6"/>
        <v>0</v>
      </c>
      <c r="AC8" s="137">
        <f t="shared" si="7"/>
        <v>0</v>
      </c>
      <c r="AD8" s="70">
        <f t="shared" si="8"/>
        <v>0</v>
      </c>
      <c r="AE8" s="71">
        <f t="shared" si="9"/>
        <v>0</v>
      </c>
      <c r="AF8" s="193">
        <f t="shared" si="10"/>
        <v>0</v>
      </c>
      <c r="AG8" s="185">
        <f t="shared" si="11"/>
        <v>0</v>
      </c>
      <c r="AH8" s="180">
        <f t="shared" si="12"/>
        <v>0</v>
      </c>
      <c r="AI8" s="189">
        <v>192</v>
      </c>
      <c r="AJ8" s="125">
        <v>255.13740000000001</v>
      </c>
      <c r="AK8" s="149">
        <v>90</v>
      </c>
      <c r="AL8" s="221">
        <v>56</v>
      </c>
      <c r="AM8" s="216">
        <v>92.405063291139243</v>
      </c>
      <c r="AN8" s="213">
        <v>11.650485436893204</v>
      </c>
      <c r="AO8" s="127">
        <v>1.659</v>
      </c>
      <c r="AP8" s="133">
        <v>0.25900000000000001</v>
      </c>
      <c r="AQ8" s="224">
        <f t="shared" si="13"/>
        <v>0.88888888888888884</v>
      </c>
      <c r="AR8" s="158">
        <v>216</v>
      </c>
      <c r="AS8" s="229">
        <f t="shared" si="14"/>
        <v>0.5835866261398176</v>
      </c>
      <c r="AT8" s="230">
        <v>329</v>
      </c>
      <c r="AU8" s="203">
        <v>9.375</v>
      </c>
      <c r="AV8" s="204">
        <v>72.916666666666657</v>
      </c>
      <c r="AW8" s="205">
        <v>17.708333333333336</v>
      </c>
      <c r="AX8" s="123">
        <v>5.5944000000000003</v>
      </c>
      <c r="AY8" s="281">
        <v>22.61904761904762</v>
      </c>
      <c r="AZ8" s="282">
        <v>27.380952380952383</v>
      </c>
      <c r="BA8" s="283">
        <f t="shared" si="15"/>
        <v>50</v>
      </c>
      <c r="BB8" s="234">
        <v>98.387096774193552</v>
      </c>
      <c r="BC8" s="20">
        <v>2002</v>
      </c>
      <c r="BD8" s="263" t="s">
        <v>556</v>
      </c>
      <c r="BE8" s="261" t="s">
        <v>556</v>
      </c>
      <c r="BF8" s="260" t="s">
        <v>557</v>
      </c>
      <c r="BG8" s="256">
        <v>15.183246073298429</v>
      </c>
      <c r="BH8" s="248" t="s">
        <v>556</v>
      </c>
      <c r="BI8" s="249">
        <v>49.468085106382979</v>
      </c>
      <c r="BJ8" s="309" t="s">
        <v>557</v>
      </c>
      <c r="BK8" s="307" t="s">
        <v>557</v>
      </c>
      <c r="BL8" s="319" t="s">
        <v>1728</v>
      </c>
      <c r="BM8" s="320" t="s">
        <v>557</v>
      </c>
      <c r="BN8" s="321" t="s">
        <v>1731</v>
      </c>
      <c r="BO8" s="145" t="s">
        <v>557</v>
      </c>
      <c r="BP8" s="14" t="s">
        <v>556</v>
      </c>
      <c r="BQ8" s="14" t="s">
        <v>557</v>
      </c>
    </row>
    <row r="9" spans="1:70" s="56" customFormat="1" ht="13.95" customHeight="1" x14ac:dyDescent="0.3">
      <c r="A9" s="56" t="s">
        <v>459</v>
      </c>
      <c r="B9" s="57" t="s">
        <v>462</v>
      </c>
      <c r="C9" s="55" t="s">
        <v>112</v>
      </c>
      <c r="D9" s="58">
        <v>2</v>
      </c>
      <c r="E9" s="59" t="s">
        <v>339</v>
      </c>
      <c r="F9" s="60" t="s">
        <v>453</v>
      </c>
      <c r="G9" s="61" t="s">
        <v>113</v>
      </c>
      <c r="H9" s="61" t="s">
        <v>114</v>
      </c>
      <c r="I9" s="62" t="s">
        <v>115</v>
      </c>
      <c r="J9" s="63" t="s">
        <v>1732</v>
      </c>
      <c r="K9" s="99" t="s">
        <v>1010</v>
      </c>
      <c r="L9" s="130">
        <v>493596463</v>
      </c>
      <c r="M9" s="109" t="s">
        <v>537</v>
      </c>
      <c r="N9" s="12" t="s">
        <v>1009</v>
      </c>
      <c r="O9" s="100"/>
      <c r="P9" s="131">
        <v>775760011</v>
      </c>
      <c r="Q9" s="67"/>
      <c r="R9" s="68"/>
      <c r="S9" s="99"/>
      <c r="T9" s="65"/>
      <c r="U9" s="170">
        <v>143000</v>
      </c>
      <c r="V9" s="48">
        <f t="shared" si="2"/>
        <v>928.57142857142856</v>
      </c>
      <c r="W9" s="171">
        <f t="shared" si="3"/>
        <v>250.93380717123196</v>
      </c>
      <c r="X9" s="69">
        <v>0</v>
      </c>
      <c r="Y9" s="48">
        <f t="shared" si="4"/>
        <v>0</v>
      </c>
      <c r="Z9" s="137">
        <f t="shared" si="5"/>
        <v>0</v>
      </c>
      <c r="AA9" s="69">
        <v>0</v>
      </c>
      <c r="AB9" s="48">
        <f t="shared" si="6"/>
        <v>0</v>
      </c>
      <c r="AC9" s="137">
        <f t="shared" si="7"/>
        <v>0</v>
      </c>
      <c r="AD9" s="70">
        <f t="shared" si="8"/>
        <v>143000</v>
      </c>
      <c r="AE9" s="71">
        <f t="shared" si="9"/>
        <v>928.57142857142856</v>
      </c>
      <c r="AF9" s="193">
        <f t="shared" si="10"/>
        <v>250.93380717123196</v>
      </c>
      <c r="AG9" s="185">
        <f t="shared" si="11"/>
        <v>1.2311665949203616E-2</v>
      </c>
      <c r="AH9" s="180">
        <f t="shared" si="12"/>
        <v>0.1196652719665272</v>
      </c>
      <c r="AI9" s="189">
        <v>154</v>
      </c>
      <c r="AJ9" s="125">
        <v>569.87139999999999</v>
      </c>
      <c r="AK9" s="149">
        <v>136</v>
      </c>
      <c r="AL9" s="221">
        <v>68</v>
      </c>
      <c r="AM9" s="216">
        <v>100</v>
      </c>
      <c r="AN9" s="213">
        <v>34.81481481481481</v>
      </c>
      <c r="AO9" s="127">
        <v>2.323</v>
      </c>
      <c r="AP9" s="133">
        <v>0.23899999999999999</v>
      </c>
      <c r="AQ9" s="224">
        <f t="shared" si="13"/>
        <v>0.89017341040462428</v>
      </c>
      <c r="AR9" s="158">
        <v>173</v>
      </c>
      <c r="AS9" s="229">
        <f t="shared" si="14"/>
        <v>0.25795644891122277</v>
      </c>
      <c r="AT9" s="230">
        <v>597</v>
      </c>
      <c r="AU9" s="203">
        <v>9.7402597402597415</v>
      </c>
      <c r="AV9" s="204">
        <v>68.181818181818173</v>
      </c>
      <c r="AW9" s="205">
        <v>22.077922077922079</v>
      </c>
      <c r="AX9" s="123">
        <v>3.8462000000000001</v>
      </c>
      <c r="AY9" s="281">
        <v>9.5238095238095237</v>
      </c>
      <c r="AZ9" s="282">
        <v>47.619047619047613</v>
      </c>
      <c r="BA9" s="283">
        <f t="shared" si="15"/>
        <v>42.857142857142868</v>
      </c>
      <c r="BB9" s="234">
        <v>92.307692307692307</v>
      </c>
      <c r="BC9" s="20">
        <v>2014</v>
      </c>
      <c r="BD9" s="263" t="s">
        <v>556</v>
      </c>
      <c r="BE9" s="262" t="s">
        <v>557</v>
      </c>
      <c r="BF9" s="260" t="s">
        <v>557</v>
      </c>
      <c r="BG9" s="256">
        <v>0</v>
      </c>
      <c r="BH9" s="254" t="s">
        <v>557</v>
      </c>
      <c r="BI9" s="249">
        <v>0</v>
      </c>
      <c r="BJ9" s="309" t="s">
        <v>557</v>
      </c>
      <c r="BK9" s="307" t="s">
        <v>557</v>
      </c>
      <c r="BL9" s="319" t="s">
        <v>1728</v>
      </c>
      <c r="BM9" s="320" t="s">
        <v>557</v>
      </c>
      <c r="BN9" s="321" t="s">
        <v>557</v>
      </c>
      <c r="BO9" s="145" t="s">
        <v>557</v>
      </c>
      <c r="BP9" s="14" t="s">
        <v>556</v>
      </c>
      <c r="BQ9" s="14" t="s">
        <v>557</v>
      </c>
    </row>
    <row r="10" spans="1:70" s="72" customFormat="1" ht="13.95" customHeight="1" x14ac:dyDescent="0.3">
      <c r="A10" s="56" t="s">
        <v>459</v>
      </c>
      <c r="B10" s="57" t="s">
        <v>462</v>
      </c>
      <c r="C10" s="55" t="s">
        <v>303</v>
      </c>
      <c r="D10" s="58">
        <v>2</v>
      </c>
      <c r="E10" s="59" t="s">
        <v>671</v>
      </c>
      <c r="F10" s="60" t="s">
        <v>455</v>
      </c>
      <c r="G10" s="61" t="s">
        <v>304</v>
      </c>
      <c r="H10" s="61" t="s">
        <v>304</v>
      </c>
      <c r="I10" s="62" t="s">
        <v>304</v>
      </c>
      <c r="J10" s="63" t="s">
        <v>1722</v>
      </c>
      <c r="K10" s="99" t="s">
        <v>1397</v>
      </c>
      <c r="L10" s="130">
        <v>494665607</v>
      </c>
      <c r="M10" s="109" t="s">
        <v>537</v>
      </c>
      <c r="N10" s="12" t="s">
        <v>1396</v>
      </c>
      <c r="O10" s="100"/>
      <c r="P10" s="131">
        <v>602168415</v>
      </c>
      <c r="Q10" s="67"/>
      <c r="R10" s="68"/>
      <c r="S10" s="99"/>
      <c r="T10" s="65"/>
      <c r="U10" s="170">
        <v>800000</v>
      </c>
      <c r="V10" s="48">
        <f t="shared" si="2"/>
        <v>2005.0125313283208</v>
      </c>
      <c r="W10" s="171">
        <f t="shared" si="3"/>
        <v>983.78670323729773</v>
      </c>
      <c r="X10" s="69">
        <v>320680</v>
      </c>
      <c r="Y10" s="48">
        <f t="shared" si="4"/>
        <v>803.70927318295742</v>
      </c>
      <c r="Z10" s="137">
        <f t="shared" si="5"/>
        <v>394.3508999926708</v>
      </c>
      <c r="AA10" s="69">
        <v>0</v>
      </c>
      <c r="AB10" s="48">
        <f t="shared" si="6"/>
        <v>0</v>
      </c>
      <c r="AC10" s="137">
        <f t="shared" si="7"/>
        <v>0</v>
      </c>
      <c r="AD10" s="70">
        <f t="shared" si="8"/>
        <v>1120680</v>
      </c>
      <c r="AE10" s="71">
        <f t="shared" si="9"/>
        <v>2808.7218045112782</v>
      </c>
      <c r="AF10" s="193">
        <f t="shared" si="10"/>
        <v>1378.1376032299686</v>
      </c>
      <c r="AG10" s="185">
        <f t="shared" si="11"/>
        <v>4.1560541442610795E-2</v>
      </c>
      <c r="AH10" s="180">
        <f t="shared" si="12"/>
        <v>9.0780072904009732E-2</v>
      </c>
      <c r="AI10" s="189">
        <v>399</v>
      </c>
      <c r="AJ10" s="125">
        <v>813.18439999999998</v>
      </c>
      <c r="AK10" s="149">
        <v>168</v>
      </c>
      <c r="AL10" s="221">
        <v>112</v>
      </c>
      <c r="AM10" s="216">
        <v>86.986301369863014</v>
      </c>
      <c r="AN10" s="213">
        <v>4.8648648648648649</v>
      </c>
      <c r="AO10" s="127">
        <v>5.3929999999999998</v>
      </c>
      <c r="AP10" s="133">
        <v>2.4689999999999999</v>
      </c>
      <c r="AQ10" s="224">
        <f t="shared" si="13"/>
        <v>1.044502617801047</v>
      </c>
      <c r="AR10" s="158">
        <v>382</v>
      </c>
      <c r="AS10" s="229">
        <f t="shared" si="14"/>
        <v>0.85622317596566522</v>
      </c>
      <c r="AT10" s="230">
        <v>466</v>
      </c>
      <c r="AU10" s="203">
        <v>17.293233082706767</v>
      </c>
      <c r="AV10" s="204">
        <v>66.165413533834595</v>
      </c>
      <c r="AW10" s="205">
        <v>16.541353383458645</v>
      </c>
      <c r="AX10" s="123">
        <v>2.2814000000000001</v>
      </c>
      <c r="AY10" s="281">
        <v>13.756613756613756</v>
      </c>
      <c r="AZ10" s="282">
        <v>39.153439153439152</v>
      </c>
      <c r="BA10" s="283">
        <f t="shared" si="15"/>
        <v>47.089947089947088</v>
      </c>
      <c r="BB10" s="234">
        <v>83.333333333333343</v>
      </c>
      <c r="BC10" s="20">
        <v>2002</v>
      </c>
      <c r="BD10" s="263" t="s">
        <v>556</v>
      </c>
      <c r="BE10" s="261" t="s">
        <v>556</v>
      </c>
      <c r="BF10" s="260" t="s">
        <v>557</v>
      </c>
      <c r="BG10" s="256">
        <v>17.557251908396946</v>
      </c>
      <c r="BH10" s="254" t="s">
        <v>557</v>
      </c>
      <c r="BI10" s="249">
        <v>0</v>
      </c>
      <c r="BJ10" s="308" t="s">
        <v>556</v>
      </c>
      <c r="BK10" s="307" t="s">
        <v>557</v>
      </c>
      <c r="BL10" s="319" t="s">
        <v>1728</v>
      </c>
      <c r="BM10" s="320" t="s">
        <v>556</v>
      </c>
      <c r="BN10" s="321" t="s">
        <v>1733</v>
      </c>
      <c r="BO10" s="145" t="s">
        <v>557</v>
      </c>
      <c r="BP10" s="14" t="s">
        <v>556</v>
      </c>
      <c r="BQ10" s="14" t="s">
        <v>557</v>
      </c>
      <c r="BR10" s="56"/>
    </row>
    <row r="11" spans="1:70" s="56" customFormat="1" ht="13.95" customHeight="1" x14ac:dyDescent="0.3">
      <c r="A11" s="56" t="s">
        <v>459</v>
      </c>
      <c r="B11" s="57" t="s">
        <v>462</v>
      </c>
      <c r="C11" s="55" t="s">
        <v>9</v>
      </c>
      <c r="D11" s="58">
        <v>1</v>
      </c>
      <c r="E11" s="59"/>
      <c r="F11" s="60" t="s">
        <v>452</v>
      </c>
      <c r="G11" s="61" t="s">
        <v>7</v>
      </c>
      <c r="H11" s="61" t="s">
        <v>7</v>
      </c>
      <c r="I11" s="62" t="s">
        <v>7</v>
      </c>
      <c r="J11" s="63" t="s">
        <v>1723</v>
      </c>
      <c r="K11" s="99" t="s">
        <v>795</v>
      </c>
      <c r="L11" s="130">
        <v>495444238</v>
      </c>
      <c r="M11" s="109" t="s">
        <v>564</v>
      </c>
      <c r="N11" s="12" t="s">
        <v>796</v>
      </c>
      <c r="O11" s="100"/>
      <c r="P11" s="131">
        <v>724184490</v>
      </c>
      <c r="Q11" s="67"/>
      <c r="R11" s="68"/>
      <c r="S11" s="99"/>
      <c r="T11" s="65"/>
      <c r="U11" s="170">
        <v>0</v>
      </c>
      <c r="V11" s="48">
        <f t="shared" si="2"/>
        <v>0</v>
      </c>
      <c r="W11" s="171">
        <f t="shared" si="3"/>
        <v>0</v>
      </c>
      <c r="X11" s="69">
        <v>0</v>
      </c>
      <c r="Y11" s="48">
        <f t="shared" si="4"/>
        <v>0</v>
      </c>
      <c r="Z11" s="137">
        <f t="shared" si="5"/>
        <v>0</v>
      </c>
      <c r="AA11" s="69">
        <v>0</v>
      </c>
      <c r="AB11" s="48">
        <f t="shared" si="6"/>
        <v>0</v>
      </c>
      <c r="AC11" s="137">
        <f t="shared" si="7"/>
        <v>0</v>
      </c>
      <c r="AD11" s="70">
        <f t="shared" si="8"/>
        <v>0</v>
      </c>
      <c r="AE11" s="71">
        <f t="shared" si="9"/>
        <v>0</v>
      </c>
      <c r="AF11" s="193">
        <f t="shared" si="10"/>
        <v>0</v>
      </c>
      <c r="AG11" s="185">
        <f t="shared" si="11"/>
        <v>0</v>
      </c>
      <c r="AH11" s="180">
        <f t="shared" si="12"/>
        <v>0</v>
      </c>
      <c r="AI11" s="189">
        <v>312</v>
      </c>
      <c r="AJ11" s="125">
        <v>592.48869999999999</v>
      </c>
      <c r="AK11" s="149">
        <v>111</v>
      </c>
      <c r="AL11" s="221">
        <v>78</v>
      </c>
      <c r="AM11" s="216">
        <v>91.666666666666657</v>
      </c>
      <c r="AN11" s="213">
        <v>14.634146341463415</v>
      </c>
      <c r="AO11" s="127">
        <v>2.5270000000000001</v>
      </c>
      <c r="AP11" s="133">
        <v>0.49199999999999999</v>
      </c>
      <c r="AQ11" s="224">
        <f t="shared" si="13"/>
        <v>1.1263537906137184</v>
      </c>
      <c r="AR11" s="158">
        <v>277</v>
      </c>
      <c r="AS11" s="229">
        <f t="shared" si="14"/>
        <v>0.79795396419437337</v>
      </c>
      <c r="AT11" s="230">
        <v>391</v>
      </c>
      <c r="AU11" s="203">
        <v>15.384615384615385</v>
      </c>
      <c r="AV11" s="204">
        <v>70.833333333333329</v>
      </c>
      <c r="AW11" s="205">
        <v>13.782051282051283</v>
      </c>
      <c r="AX11" s="123">
        <v>5.2173999999999996</v>
      </c>
      <c r="AY11" s="281">
        <v>8.7591240875912408</v>
      </c>
      <c r="AZ11" s="282">
        <v>35.036496350364963</v>
      </c>
      <c r="BA11" s="283">
        <f t="shared" si="15"/>
        <v>56.20437956204379</v>
      </c>
      <c r="BB11" s="234">
        <v>100</v>
      </c>
      <c r="BC11" s="20">
        <v>2002</v>
      </c>
      <c r="BD11" s="263" t="s">
        <v>556</v>
      </c>
      <c r="BE11" s="261" t="s">
        <v>556</v>
      </c>
      <c r="BF11" s="260" t="s">
        <v>557</v>
      </c>
      <c r="BG11" s="256">
        <v>22.382671480144403</v>
      </c>
      <c r="BH11" s="248" t="s">
        <v>556</v>
      </c>
      <c r="BI11" s="249">
        <v>74.517374517374506</v>
      </c>
      <c r="BJ11" s="309" t="s">
        <v>557</v>
      </c>
      <c r="BK11" s="307" t="s">
        <v>557</v>
      </c>
      <c r="BL11" s="319" t="s">
        <v>1728</v>
      </c>
      <c r="BM11" s="320" t="s">
        <v>556</v>
      </c>
      <c r="BN11" s="321" t="s">
        <v>1733</v>
      </c>
      <c r="BO11" s="145" t="s">
        <v>557</v>
      </c>
      <c r="BP11" s="14" t="s">
        <v>557</v>
      </c>
      <c r="BQ11" s="14" t="s">
        <v>557</v>
      </c>
    </row>
    <row r="12" spans="1:70" s="56" customFormat="1" ht="13.95" customHeight="1" x14ac:dyDescent="0.3">
      <c r="A12" s="3" t="s">
        <v>459</v>
      </c>
      <c r="B12" s="57" t="s">
        <v>462</v>
      </c>
      <c r="C12" s="55" t="s">
        <v>305</v>
      </c>
      <c r="D12" s="58">
        <v>1</v>
      </c>
      <c r="E12" s="97" t="s">
        <v>687</v>
      </c>
      <c r="F12" s="60" t="s">
        <v>455</v>
      </c>
      <c r="G12" s="61" t="s">
        <v>528</v>
      </c>
      <c r="H12" s="61" t="s">
        <v>527</v>
      </c>
      <c r="I12" s="62" t="s">
        <v>527</v>
      </c>
      <c r="J12" s="117" t="s">
        <v>678</v>
      </c>
      <c r="K12" s="100" t="s">
        <v>680</v>
      </c>
      <c r="L12" s="242" t="s">
        <v>1734</v>
      </c>
      <c r="M12" s="109" t="s">
        <v>564</v>
      </c>
      <c r="N12" s="12" t="s">
        <v>681</v>
      </c>
      <c r="O12" s="100" t="s">
        <v>679</v>
      </c>
      <c r="P12" s="131">
        <v>739049670</v>
      </c>
      <c r="Q12" s="67" t="s">
        <v>684</v>
      </c>
      <c r="R12" s="12" t="s">
        <v>685</v>
      </c>
      <c r="S12" s="100" t="s">
        <v>683</v>
      </c>
      <c r="T12" s="131">
        <v>494379025</v>
      </c>
      <c r="U12" s="170">
        <v>395000</v>
      </c>
      <c r="V12" s="48">
        <f t="shared" si="2"/>
        <v>1899.0384615384614</v>
      </c>
      <c r="W12" s="171">
        <f t="shared" si="3"/>
        <v>110.9627113600871</v>
      </c>
      <c r="X12" s="69">
        <v>409000</v>
      </c>
      <c r="Y12" s="48">
        <f t="shared" si="4"/>
        <v>1966.3461538461538</v>
      </c>
      <c r="Z12" s="137">
        <f t="shared" si="5"/>
        <v>114.89556695259651</v>
      </c>
      <c r="AA12" s="69">
        <v>0</v>
      </c>
      <c r="AB12" s="48">
        <f t="shared" si="6"/>
        <v>0</v>
      </c>
      <c r="AC12" s="137">
        <f t="shared" si="7"/>
        <v>0</v>
      </c>
      <c r="AD12" s="70">
        <f t="shared" si="8"/>
        <v>804000</v>
      </c>
      <c r="AE12" s="71">
        <f t="shared" si="9"/>
        <v>3865.3846153846152</v>
      </c>
      <c r="AF12" s="193">
        <f t="shared" si="10"/>
        <v>225.85827831268361</v>
      </c>
      <c r="AG12" s="185">
        <f t="shared" si="11"/>
        <v>1.9940476190476189E-2</v>
      </c>
      <c r="AH12" s="180">
        <f t="shared" si="12"/>
        <v>6.6473749483257544E-2</v>
      </c>
      <c r="AI12" s="189">
        <v>208</v>
      </c>
      <c r="AJ12" s="125">
        <v>3559.7543999999998</v>
      </c>
      <c r="AK12" s="149">
        <v>312</v>
      </c>
      <c r="AL12" s="221">
        <v>45</v>
      </c>
      <c r="AM12" s="216">
        <v>47.945205479452049</v>
      </c>
      <c r="AN12" s="213">
        <v>23.214285714285715</v>
      </c>
      <c r="AO12" s="127">
        <v>8.0640000000000001</v>
      </c>
      <c r="AP12" s="133">
        <v>2.419</v>
      </c>
      <c r="AQ12" s="224">
        <f t="shared" si="13"/>
        <v>0.94977168949771684</v>
      </c>
      <c r="AR12" s="158">
        <v>219</v>
      </c>
      <c r="AS12" s="229">
        <f t="shared" si="14"/>
        <v>0.11341330425299891</v>
      </c>
      <c r="AT12" s="230">
        <v>1834</v>
      </c>
      <c r="AU12" s="203">
        <v>17.307692307692307</v>
      </c>
      <c r="AV12" s="204">
        <v>68.269230769230774</v>
      </c>
      <c r="AW12" s="205">
        <v>14.423076923076922</v>
      </c>
      <c r="AX12" s="123">
        <v>3.3557000000000001</v>
      </c>
      <c r="AY12" s="281">
        <v>11</v>
      </c>
      <c r="AZ12" s="282">
        <v>13</v>
      </c>
      <c r="BA12" s="283">
        <f t="shared" si="15"/>
        <v>76</v>
      </c>
      <c r="BB12" s="234">
        <v>41.379310344827587</v>
      </c>
      <c r="BC12" s="19">
        <v>2017</v>
      </c>
      <c r="BD12" s="263" t="s">
        <v>556</v>
      </c>
      <c r="BE12" s="261" t="s">
        <v>556</v>
      </c>
      <c r="BF12" s="259" t="s">
        <v>556</v>
      </c>
      <c r="BG12" s="256">
        <v>60.846560846560848</v>
      </c>
      <c r="BH12" s="254" t="s">
        <v>557</v>
      </c>
      <c r="BI12" s="249">
        <v>0</v>
      </c>
      <c r="BJ12" s="308" t="s">
        <v>556</v>
      </c>
      <c r="BK12" s="310" t="s">
        <v>682</v>
      </c>
      <c r="BL12" s="319" t="s">
        <v>1728</v>
      </c>
      <c r="BM12" s="320" t="s">
        <v>556</v>
      </c>
      <c r="BN12" s="321" t="s">
        <v>1731</v>
      </c>
      <c r="BO12" s="21" t="s">
        <v>557</v>
      </c>
      <c r="BP12" s="10">
        <v>3</v>
      </c>
      <c r="BQ12" s="10" t="s">
        <v>557</v>
      </c>
      <c r="BR12" s="3"/>
    </row>
    <row r="13" spans="1:70" s="56" customFormat="1" ht="13.95" customHeight="1" x14ac:dyDescent="0.3">
      <c r="A13" s="56" t="s">
        <v>459</v>
      </c>
      <c r="B13" s="57" t="s">
        <v>462</v>
      </c>
      <c r="C13" s="55" t="s">
        <v>116</v>
      </c>
      <c r="D13" s="58">
        <v>1</v>
      </c>
      <c r="E13" s="97" t="s">
        <v>613</v>
      </c>
      <c r="F13" s="60" t="s">
        <v>453</v>
      </c>
      <c r="G13" s="61" t="s">
        <v>117</v>
      </c>
      <c r="H13" s="61" t="s">
        <v>117</v>
      </c>
      <c r="I13" s="62" t="s">
        <v>117</v>
      </c>
      <c r="J13" s="63" t="s">
        <v>1735</v>
      </c>
      <c r="K13" s="99" t="s">
        <v>1012</v>
      </c>
      <c r="L13" s="130">
        <v>493699262</v>
      </c>
      <c r="M13" s="109" t="s">
        <v>564</v>
      </c>
      <c r="N13" s="12" t="s">
        <v>1011</v>
      </c>
      <c r="O13" s="100"/>
      <c r="P13" s="131">
        <v>606360172</v>
      </c>
      <c r="Q13" s="67"/>
      <c r="R13" s="68"/>
      <c r="S13" s="99"/>
      <c r="T13" s="65"/>
      <c r="U13" s="170">
        <v>0</v>
      </c>
      <c r="V13" s="48">
        <f t="shared" si="2"/>
        <v>0</v>
      </c>
      <c r="W13" s="171">
        <f t="shared" si="3"/>
        <v>0</v>
      </c>
      <c r="X13" s="69">
        <v>0</v>
      </c>
      <c r="Y13" s="48">
        <f t="shared" si="4"/>
        <v>0</v>
      </c>
      <c r="Z13" s="137">
        <f t="shared" si="5"/>
        <v>0</v>
      </c>
      <c r="AA13" s="69">
        <v>0</v>
      </c>
      <c r="AB13" s="48">
        <f t="shared" si="6"/>
        <v>0</v>
      </c>
      <c r="AC13" s="137">
        <f t="shared" si="7"/>
        <v>0</v>
      </c>
      <c r="AD13" s="70">
        <f t="shared" si="8"/>
        <v>0</v>
      </c>
      <c r="AE13" s="71">
        <f t="shared" si="9"/>
        <v>0</v>
      </c>
      <c r="AF13" s="193">
        <f t="shared" si="10"/>
        <v>0</v>
      </c>
      <c r="AG13" s="185">
        <f t="shared" si="11"/>
        <v>0</v>
      </c>
      <c r="AH13" s="180">
        <f t="shared" si="12"/>
        <v>0</v>
      </c>
      <c r="AI13" s="189">
        <v>200</v>
      </c>
      <c r="AJ13" s="125">
        <v>608.7432</v>
      </c>
      <c r="AK13" s="149">
        <v>95</v>
      </c>
      <c r="AL13" s="221">
        <v>59</v>
      </c>
      <c r="AM13" s="216">
        <v>83.561643835616437</v>
      </c>
      <c r="AN13" s="213">
        <v>15.384615384615383</v>
      </c>
      <c r="AO13" s="127">
        <v>1.895</v>
      </c>
      <c r="AP13" s="133">
        <v>0.35799999999999998</v>
      </c>
      <c r="AQ13" s="224">
        <f t="shared" si="13"/>
        <v>0.9569377990430622</v>
      </c>
      <c r="AR13" s="158">
        <v>209</v>
      </c>
      <c r="AS13" s="229">
        <f t="shared" si="14"/>
        <v>0.50505050505050508</v>
      </c>
      <c r="AT13" s="230">
        <v>396</v>
      </c>
      <c r="AU13" s="203">
        <v>14.000000000000002</v>
      </c>
      <c r="AV13" s="204">
        <v>64.5</v>
      </c>
      <c r="AW13" s="205">
        <v>21.5</v>
      </c>
      <c r="AX13" s="123">
        <v>8.8710000000000004</v>
      </c>
      <c r="AY13" s="281">
        <v>8.9743589743589745</v>
      </c>
      <c r="AZ13" s="282">
        <v>34.615384615384613</v>
      </c>
      <c r="BA13" s="283">
        <f t="shared" si="15"/>
        <v>56.410256410256409</v>
      </c>
      <c r="BB13" s="234">
        <v>55.932203389830512</v>
      </c>
      <c r="BC13" s="20">
        <v>2014</v>
      </c>
      <c r="BD13" s="263" t="s">
        <v>556</v>
      </c>
      <c r="BE13" s="261" t="s">
        <v>556</v>
      </c>
      <c r="BF13" s="260" t="s">
        <v>557</v>
      </c>
      <c r="BG13" s="256">
        <v>26.595744680851062</v>
      </c>
      <c r="BH13" s="254" t="s">
        <v>557</v>
      </c>
      <c r="BI13" s="249">
        <v>0</v>
      </c>
      <c r="BJ13" s="309" t="s">
        <v>557</v>
      </c>
      <c r="BK13" s="307" t="s">
        <v>557</v>
      </c>
      <c r="BL13" s="319" t="s">
        <v>1728</v>
      </c>
      <c r="BM13" s="320" t="s">
        <v>556</v>
      </c>
      <c r="BN13" s="321" t="s">
        <v>1803</v>
      </c>
      <c r="BO13" s="145" t="s">
        <v>557</v>
      </c>
      <c r="BP13" s="14" t="s">
        <v>557</v>
      </c>
      <c r="BQ13" s="14" t="s">
        <v>557</v>
      </c>
    </row>
    <row r="14" spans="1:70" s="56" customFormat="1" ht="13.95" customHeight="1" x14ac:dyDescent="0.3">
      <c r="A14" s="56" t="s">
        <v>459</v>
      </c>
      <c r="B14" s="57" t="s">
        <v>462</v>
      </c>
      <c r="C14" s="55" t="s">
        <v>377</v>
      </c>
      <c r="D14" s="58">
        <v>1</v>
      </c>
      <c r="E14" s="59"/>
      <c r="F14" s="60" t="s">
        <v>456</v>
      </c>
      <c r="G14" s="61" t="s">
        <v>378</v>
      </c>
      <c r="H14" s="61" t="s">
        <v>379</v>
      </c>
      <c r="I14" s="62" t="s">
        <v>533</v>
      </c>
      <c r="J14" s="63" t="s">
        <v>2475</v>
      </c>
      <c r="K14" s="99" t="s">
        <v>1537</v>
      </c>
      <c r="L14" s="130">
        <v>499781521</v>
      </c>
      <c r="M14" s="109" t="s">
        <v>537</v>
      </c>
      <c r="N14" s="12" t="s">
        <v>1536</v>
      </c>
      <c r="O14" s="100"/>
      <c r="P14" s="131">
        <v>602587083</v>
      </c>
      <c r="Q14" s="84"/>
      <c r="S14" s="105"/>
      <c r="T14" s="112"/>
      <c r="U14" s="170">
        <v>440000</v>
      </c>
      <c r="V14" s="48">
        <f t="shared" si="2"/>
        <v>581.24174372523123</v>
      </c>
      <c r="W14" s="171">
        <f t="shared" si="3"/>
        <v>985.06705508159155</v>
      </c>
      <c r="X14" s="69">
        <f>156050+20000</f>
        <v>176050</v>
      </c>
      <c r="Y14" s="48">
        <f t="shared" si="4"/>
        <v>232.56274768824306</v>
      </c>
      <c r="Z14" s="137">
        <f t="shared" si="5"/>
        <v>394.13876147071409</v>
      </c>
      <c r="AA14" s="69">
        <v>0</v>
      </c>
      <c r="AB14" s="48">
        <f t="shared" si="6"/>
        <v>0</v>
      </c>
      <c r="AC14" s="137">
        <f t="shared" si="7"/>
        <v>0</v>
      </c>
      <c r="AD14" s="70">
        <f t="shared" si="8"/>
        <v>616050</v>
      </c>
      <c r="AE14" s="71">
        <f t="shared" si="9"/>
        <v>813.80449141347424</v>
      </c>
      <c r="AF14" s="193">
        <f t="shared" si="10"/>
        <v>1379.2058165523056</v>
      </c>
      <c r="AG14" s="185">
        <f t="shared" si="11"/>
        <v>1.2900219872264685E-2</v>
      </c>
      <c r="AH14" s="180">
        <f t="shared" si="12"/>
        <v>3.7484027989047763E-2</v>
      </c>
      <c r="AI14" s="189">
        <v>757</v>
      </c>
      <c r="AJ14" s="125">
        <v>446.67009999999999</v>
      </c>
      <c r="AK14" s="149">
        <v>331</v>
      </c>
      <c r="AL14" s="221">
        <v>214</v>
      </c>
      <c r="AM14" s="216">
        <v>91.872791519434628</v>
      </c>
      <c r="AN14" s="213">
        <v>6.0693641618497107</v>
      </c>
      <c r="AO14" s="127">
        <v>9.5510000000000002</v>
      </c>
      <c r="AP14" s="133">
        <v>3.2869999999999999</v>
      </c>
      <c r="AQ14" s="224">
        <f t="shared" si="13"/>
        <v>1.1214814814814815</v>
      </c>
      <c r="AR14" s="158">
        <v>675</v>
      </c>
      <c r="AS14" s="229">
        <f t="shared" si="14"/>
        <v>0.75473579262213364</v>
      </c>
      <c r="AT14" s="230">
        <v>1003</v>
      </c>
      <c r="AU14" s="203">
        <v>15.984147952443859</v>
      </c>
      <c r="AV14" s="204">
        <v>65.257595772787312</v>
      </c>
      <c r="AW14" s="205">
        <v>18.758256274768826</v>
      </c>
      <c r="AX14" s="123">
        <v>3.4552999999999998</v>
      </c>
      <c r="AY14" s="281">
        <v>3.3333333333333335</v>
      </c>
      <c r="AZ14" s="282">
        <v>41.333333333333336</v>
      </c>
      <c r="BA14" s="283">
        <f t="shared" si="15"/>
        <v>55.333333333333336</v>
      </c>
      <c r="BB14" s="234">
        <v>58.904109589041099</v>
      </c>
      <c r="BC14" s="20">
        <v>2016</v>
      </c>
      <c r="BD14" s="263" t="s">
        <v>556</v>
      </c>
      <c r="BE14" s="261" t="s">
        <v>556</v>
      </c>
      <c r="BF14" s="259" t="s">
        <v>556</v>
      </c>
      <c r="BG14" s="256">
        <v>12.5</v>
      </c>
      <c r="BH14" s="248" t="s">
        <v>556</v>
      </c>
      <c r="BI14" s="249">
        <v>79.941002949852503</v>
      </c>
      <c r="BJ14" s="308" t="s">
        <v>556</v>
      </c>
      <c r="BK14" s="307" t="s">
        <v>750</v>
      </c>
      <c r="BL14" s="319" t="s">
        <v>1728</v>
      </c>
      <c r="BM14" s="320" t="s">
        <v>556</v>
      </c>
      <c r="BN14" s="321" t="s">
        <v>1838</v>
      </c>
      <c r="BO14" s="145" t="s">
        <v>556</v>
      </c>
      <c r="BP14" s="14" t="s">
        <v>556</v>
      </c>
      <c r="BQ14" s="14" t="s">
        <v>557</v>
      </c>
      <c r="BR14" s="72"/>
    </row>
    <row r="15" spans="1:70" s="56" customFormat="1" ht="13.95" customHeight="1" x14ac:dyDescent="0.3">
      <c r="A15" s="56" t="s">
        <v>459</v>
      </c>
      <c r="B15" s="57" t="s">
        <v>462</v>
      </c>
      <c r="C15" s="55" t="s">
        <v>118</v>
      </c>
      <c r="D15" s="58">
        <v>2</v>
      </c>
      <c r="E15" s="59" t="s">
        <v>500</v>
      </c>
      <c r="F15" s="60" t="s">
        <v>453</v>
      </c>
      <c r="G15" s="61" t="s">
        <v>113</v>
      </c>
      <c r="H15" s="61" t="s">
        <v>114</v>
      </c>
      <c r="I15" s="62" t="s">
        <v>114</v>
      </c>
      <c r="J15" s="63" t="s">
        <v>1724</v>
      </c>
      <c r="K15" s="99" t="s">
        <v>1014</v>
      </c>
      <c r="L15" s="130">
        <v>493552235</v>
      </c>
      <c r="M15" s="109" t="s">
        <v>564</v>
      </c>
      <c r="N15" s="12" t="s">
        <v>1013</v>
      </c>
      <c r="O15" s="100"/>
      <c r="P15" s="131">
        <v>724192077</v>
      </c>
      <c r="Q15" s="67"/>
      <c r="R15" s="68"/>
      <c r="S15" s="99"/>
      <c r="T15" s="65"/>
      <c r="U15" s="170">
        <f>188000+334887</f>
        <v>522887</v>
      </c>
      <c r="V15" s="48">
        <f t="shared" si="2"/>
        <v>1951.0708955223881</v>
      </c>
      <c r="W15" s="171">
        <f t="shared" si="3"/>
        <v>594.66428779874116</v>
      </c>
      <c r="X15" s="69">
        <v>25000</v>
      </c>
      <c r="Y15" s="48">
        <f t="shared" si="4"/>
        <v>93.28358208955224</v>
      </c>
      <c r="Z15" s="137">
        <f t="shared" si="5"/>
        <v>28.431778175721579</v>
      </c>
      <c r="AA15" s="69">
        <v>0</v>
      </c>
      <c r="AB15" s="48">
        <f t="shared" si="6"/>
        <v>0</v>
      </c>
      <c r="AC15" s="137">
        <f t="shared" si="7"/>
        <v>0</v>
      </c>
      <c r="AD15" s="70">
        <f t="shared" si="8"/>
        <v>547887</v>
      </c>
      <c r="AE15" s="71">
        <f t="shared" si="9"/>
        <v>2044.3544776119404</v>
      </c>
      <c r="AF15" s="193">
        <f t="shared" si="10"/>
        <v>623.09606597446282</v>
      </c>
      <c r="AG15" s="185">
        <f t="shared" si="11"/>
        <v>2.8662673293225218E-2</v>
      </c>
      <c r="AH15" s="180">
        <f t="shared" si="12"/>
        <v>1.0536288461538461</v>
      </c>
      <c r="AI15" s="189">
        <v>268</v>
      </c>
      <c r="AJ15" s="125">
        <v>879.29780000000005</v>
      </c>
      <c r="AK15" s="149">
        <v>125</v>
      </c>
      <c r="AL15" s="221">
        <v>65</v>
      </c>
      <c r="AM15" s="216">
        <v>84.615384615384613</v>
      </c>
      <c r="AN15" s="213">
        <v>35.97122302158273</v>
      </c>
      <c r="AO15" s="127">
        <v>3.823</v>
      </c>
      <c r="AP15" s="133">
        <v>0.104</v>
      </c>
      <c r="AQ15" s="224">
        <f t="shared" si="13"/>
        <v>1.1964285714285714</v>
      </c>
      <c r="AR15" s="158">
        <v>224</v>
      </c>
      <c r="AS15" s="229">
        <f t="shared" si="14"/>
        <v>0.40544629349470501</v>
      </c>
      <c r="AT15" s="230">
        <v>661</v>
      </c>
      <c r="AU15" s="203">
        <v>17.164179104477611</v>
      </c>
      <c r="AV15" s="204">
        <v>66.044776119402982</v>
      </c>
      <c r="AW15" s="205">
        <v>16.791044776119403</v>
      </c>
      <c r="AX15" s="123">
        <v>6.8571</v>
      </c>
      <c r="AY15" s="281">
        <v>18.518518518518519</v>
      </c>
      <c r="AZ15" s="282">
        <v>40.74074074074074</v>
      </c>
      <c r="BA15" s="283">
        <f t="shared" si="15"/>
        <v>40.74074074074074</v>
      </c>
      <c r="BB15" s="234">
        <v>61.538461538461533</v>
      </c>
      <c r="BC15" s="20">
        <v>2004</v>
      </c>
      <c r="BD15" s="263" t="s">
        <v>556</v>
      </c>
      <c r="BE15" s="261" t="s">
        <v>556</v>
      </c>
      <c r="BF15" s="260" t="s">
        <v>557</v>
      </c>
      <c r="BG15" s="256">
        <v>36.492890995260666</v>
      </c>
      <c r="BH15" s="254" t="s">
        <v>557</v>
      </c>
      <c r="BI15" s="249">
        <v>0</v>
      </c>
      <c r="BJ15" s="308" t="s">
        <v>556</v>
      </c>
      <c r="BK15" s="307" t="s">
        <v>750</v>
      </c>
      <c r="BL15" s="319" t="s">
        <v>1728</v>
      </c>
      <c r="BM15" s="320" t="s">
        <v>556</v>
      </c>
      <c r="BN15" s="321" t="s">
        <v>1803</v>
      </c>
      <c r="BO15" s="145" t="s">
        <v>557</v>
      </c>
      <c r="BP15" s="14" t="s">
        <v>556</v>
      </c>
      <c r="BQ15" s="14" t="s">
        <v>557</v>
      </c>
      <c r="BR15" s="72"/>
    </row>
    <row r="16" spans="1:70" s="56" customFormat="1" ht="13.95" customHeight="1" x14ac:dyDescent="0.3">
      <c r="A16" s="56" t="s">
        <v>459</v>
      </c>
      <c r="B16" s="57" t="s">
        <v>462</v>
      </c>
      <c r="C16" s="55" t="s">
        <v>10</v>
      </c>
      <c r="D16" s="58">
        <v>1</v>
      </c>
      <c r="E16" s="59"/>
      <c r="F16" s="60" t="s">
        <v>452</v>
      </c>
      <c r="G16" s="61" t="s">
        <v>11</v>
      </c>
      <c r="H16" s="61" t="s">
        <v>525</v>
      </c>
      <c r="I16" s="62" t="s">
        <v>525</v>
      </c>
      <c r="J16" s="63" t="s">
        <v>1737</v>
      </c>
      <c r="K16" s="99" t="s">
        <v>797</v>
      </c>
      <c r="L16" s="130">
        <v>495593806</v>
      </c>
      <c r="M16" s="109" t="s">
        <v>564</v>
      </c>
      <c r="N16" s="12" t="s">
        <v>798</v>
      </c>
      <c r="O16" s="100"/>
      <c r="P16" s="131">
        <v>702208895</v>
      </c>
      <c r="Q16" s="67"/>
      <c r="R16" s="68"/>
      <c r="S16" s="99"/>
      <c r="T16" s="65"/>
      <c r="U16" s="170">
        <v>0</v>
      </c>
      <c r="V16" s="48">
        <f t="shared" si="2"/>
        <v>0</v>
      </c>
      <c r="W16" s="171">
        <f t="shared" si="3"/>
        <v>0</v>
      </c>
      <c r="X16" s="69">
        <f>56000+200000</f>
        <v>256000</v>
      </c>
      <c r="Y16" s="48">
        <f t="shared" si="4"/>
        <v>805.03144654088055</v>
      </c>
      <c r="Z16" s="137">
        <f t="shared" si="5"/>
        <v>136.03133779434643</v>
      </c>
      <c r="AA16" s="69">
        <v>0</v>
      </c>
      <c r="AB16" s="48">
        <f t="shared" si="6"/>
        <v>0</v>
      </c>
      <c r="AC16" s="137">
        <f t="shared" si="7"/>
        <v>0</v>
      </c>
      <c r="AD16" s="70">
        <f t="shared" si="8"/>
        <v>256000</v>
      </c>
      <c r="AE16" s="71">
        <f t="shared" si="9"/>
        <v>805.03144654088055</v>
      </c>
      <c r="AF16" s="193">
        <f t="shared" si="10"/>
        <v>136.03133779434643</v>
      </c>
      <c r="AG16" s="185">
        <f t="shared" si="11"/>
        <v>1.3438320209973754E-2</v>
      </c>
      <c r="AH16" s="180">
        <f t="shared" si="12"/>
        <v>3.9968774395003903E-2</v>
      </c>
      <c r="AI16" s="189">
        <v>318</v>
      </c>
      <c r="AJ16" s="125">
        <v>1881.9193</v>
      </c>
      <c r="AK16" s="149">
        <v>305</v>
      </c>
      <c r="AL16" s="221">
        <v>96</v>
      </c>
      <c r="AM16" s="216">
        <v>94.444444444444443</v>
      </c>
      <c r="AN16" s="213">
        <v>10.31746031746032</v>
      </c>
      <c r="AO16" s="127">
        <v>3.81</v>
      </c>
      <c r="AP16" s="133">
        <v>1.2809999999999999</v>
      </c>
      <c r="AQ16" s="224">
        <f t="shared" si="13"/>
        <v>1.7377049180327868</v>
      </c>
      <c r="AR16" s="158">
        <v>183</v>
      </c>
      <c r="AS16" s="229">
        <f t="shared" si="14"/>
        <v>1.0816326530612246</v>
      </c>
      <c r="AT16" s="230">
        <v>294</v>
      </c>
      <c r="AU16" s="203">
        <v>14.779874213836477</v>
      </c>
      <c r="AV16" s="204">
        <v>69.496855345911953</v>
      </c>
      <c r="AW16" s="205">
        <v>15.723270440251572</v>
      </c>
      <c r="AX16" s="123">
        <v>3.2557999999999998</v>
      </c>
      <c r="AY16" s="281">
        <v>7.1428571428571423</v>
      </c>
      <c r="AZ16" s="282">
        <v>35.714285714285715</v>
      </c>
      <c r="BA16" s="283">
        <f t="shared" si="15"/>
        <v>57.142857142857146</v>
      </c>
      <c r="BB16" s="234">
        <v>97.402597402597394</v>
      </c>
      <c r="BC16" s="20">
        <v>2000</v>
      </c>
      <c r="BD16" s="263" t="s">
        <v>556</v>
      </c>
      <c r="BE16" s="261" t="s">
        <v>556</v>
      </c>
      <c r="BF16" s="259" t="s">
        <v>556</v>
      </c>
      <c r="BG16" s="256">
        <v>75.666666666666671</v>
      </c>
      <c r="BH16" s="248" t="s">
        <v>556</v>
      </c>
      <c r="BI16" s="249">
        <v>56.610169491525419</v>
      </c>
      <c r="BJ16" s="309" t="s">
        <v>557</v>
      </c>
      <c r="BK16" s="307" t="s">
        <v>557</v>
      </c>
      <c r="BL16" s="319" t="s">
        <v>1728</v>
      </c>
      <c r="BM16" s="320" t="s">
        <v>556</v>
      </c>
      <c r="BN16" s="321" t="s">
        <v>557</v>
      </c>
      <c r="BO16" s="145" t="s">
        <v>557</v>
      </c>
      <c r="BP16" s="14" t="s">
        <v>556</v>
      </c>
      <c r="BQ16" s="14" t="s">
        <v>557</v>
      </c>
    </row>
    <row r="17" spans="1:70" s="56" customFormat="1" ht="13.95" customHeight="1" x14ac:dyDescent="0.3">
      <c r="A17" s="56" t="s">
        <v>459</v>
      </c>
      <c r="B17" s="57" t="s">
        <v>462</v>
      </c>
      <c r="C17" s="55" t="s">
        <v>12</v>
      </c>
      <c r="D17" s="58">
        <v>1</v>
      </c>
      <c r="E17" s="59"/>
      <c r="F17" s="60" t="s">
        <v>452</v>
      </c>
      <c r="G17" s="61" t="s">
        <v>11</v>
      </c>
      <c r="H17" s="61" t="s">
        <v>11</v>
      </c>
      <c r="I17" s="62" t="s">
        <v>11</v>
      </c>
      <c r="J17" s="63" t="s">
        <v>2495</v>
      </c>
      <c r="K17" s="99" t="s">
        <v>1738</v>
      </c>
      <c r="L17" s="130"/>
      <c r="M17" s="109" t="s">
        <v>564</v>
      </c>
      <c r="N17" s="12" t="s">
        <v>799</v>
      </c>
      <c r="O17" s="100" t="s">
        <v>800</v>
      </c>
      <c r="P17" s="131">
        <v>777771932</v>
      </c>
      <c r="Q17" s="67"/>
      <c r="R17" s="68"/>
      <c r="S17" s="99"/>
      <c r="T17" s="65"/>
      <c r="U17" s="170">
        <v>400000</v>
      </c>
      <c r="V17" s="48">
        <f t="shared" si="2"/>
        <v>3539.8230088495575</v>
      </c>
      <c r="W17" s="171">
        <f t="shared" si="3"/>
        <v>1108.3669791984457</v>
      </c>
      <c r="X17" s="69">
        <v>74415</v>
      </c>
      <c r="Y17" s="48">
        <f t="shared" si="4"/>
        <v>658.53982300884957</v>
      </c>
      <c r="Z17" s="137">
        <f t="shared" si="5"/>
        <v>206.19782189263083</v>
      </c>
      <c r="AA17" s="69">
        <v>0</v>
      </c>
      <c r="AB17" s="48">
        <f t="shared" si="6"/>
        <v>0</v>
      </c>
      <c r="AC17" s="137">
        <f t="shared" si="7"/>
        <v>0</v>
      </c>
      <c r="AD17" s="70">
        <f t="shared" si="8"/>
        <v>474415</v>
      </c>
      <c r="AE17" s="71">
        <f t="shared" si="9"/>
        <v>4198.3628318584069</v>
      </c>
      <c r="AF17" s="193">
        <f t="shared" si="10"/>
        <v>1314.5648010910766</v>
      </c>
      <c r="AG17" s="185">
        <f t="shared" si="11"/>
        <v>9.5359798994974862E-2</v>
      </c>
      <c r="AH17" s="180">
        <f t="shared" si="12"/>
        <v>0.24266751918158569</v>
      </c>
      <c r="AI17" s="189">
        <v>113</v>
      </c>
      <c r="AJ17" s="125">
        <v>360.8913</v>
      </c>
      <c r="AK17" s="149">
        <v>55</v>
      </c>
      <c r="AL17" s="221">
        <v>30</v>
      </c>
      <c r="AM17" s="216">
        <v>100</v>
      </c>
      <c r="AN17" s="213">
        <v>14</v>
      </c>
      <c r="AO17" s="127">
        <v>0.995</v>
      </c>
      <c r="AP17" s="133">
        <v>0.39100000000000001</v>
      </c>
      <c r="AQ17" s="224">
        <f t="shared" si="13"/>
        <v>1.2282608695652173</v>
      </c>
      <c r="AR17" s="158">
        <v>92</v>
      </c>
      <c r="AS17" s="229">
        <f t="shared" si="14"/>
        <v>0.42641509433962266</v>
      </c>
      <c r="AT17" s="230">
        <v>265</v>
      </c>
      <c r="AU17" s="203">
        <v>16.814159292035399</v>
      </c>
      <c r="AV17" s="204">
        <v>69.911504424778755</v>
      </c>
      <c r="AW17" s="205">
        <v>13.274336283185843</v>
      </c>
      <c r="AX17" s="123">
        <v>2.5316000000000001</v>
      </c>
      <c r="AY17" s="281">
        <v>17.647058823529413</v>
      </c>
      <c r="AZ17" s="282">
        <v>21.568627450980394</v>
      </c>
      <c r="BA17" s="283">
        <f t="shared" si="15"/>
        <v>60.784313725490186</v>
      </c>
      <c r="BB17" s="234">
        <v>86.111111111111114</v>
      </c>
      <c r="BC17" s="20">
        <v>2014</v>
      </c>
      <c r="BD17" s="264" t="s">
        <v>557</v>
      </c>
      <c r="BE17" s="262" t="s">
        <v>557</v>
      </c>
      <c r="BF17" s="260" t="s">
        <v>557</v>
      </c>
      <c r="BG17" s="256">
        <v>0</v>
      </c>
      <c r="BH17" s="248" t="s">
        <v>556</v>
      </c>
      <c r="BI17" s="249">
        <v>39.795918367346935</v>
      </c>
      <c r="BJ17" s="309" t="s">
        <v>557</v>
      </c>
      <c r="BK17" s="307" t="s">
        <v>557</v>
      </c>
      <c r="BL17" s="319" t="s">
        <v>1728</v>
      </c>
      <c r="BM17" s="320" t="s">
        <v>557</v>
      </c>
      <c r="BN17" s="321" t="s">
        <v>557</v>
      </c>
      <c r="BO17" s="145" t="s">
        <v>557</v>
      </c>
      <c r="BP17" s="14" t="s">
        <v>557</v>
      </c>
      <c r="BQ17" s="14" t="s">
        <v>557</v>
      </c>
      <c r="BR17" s="72"/>
    </row>
    <row r="18" spans="1:70" s="56" customFormat="1" ht="13.95" customHeight="1" x14ac:dyDescent="0.3">
      <c r="A18" s="3" t="s">
        <v>459</v>
      </c>
      <c r="B18" s="57" t="s">
        <v>462</v>
      </c>
      <c r="C18" s="55" t="s">
        <v>381</v>
      </c>
      <c r="D18" s="58">
        <v>2</v>
      </c>
      <c r="E18" s="59" t="s">
        <v>719</v>
      </c>
      <c r="F18" s="60" t="s">
        <v>456</v>
      </c>
      <c r="G18" s="61" t="s">
        <v>378</v>
      </c>
      <c r="H18" s="61" t="s">
        <v>382</v>
      </c>
      <c r="I18" s="62" t="s">
        <v>382</v>
      </c>
      <c r="J18" s="117" t="s">
        <v>1740</v>
      </c>
      <c r="K18" s="100" t="s">
        <v>1739</v>
      </c>
      <c r="L18" s="131">
        <v>499879145</v>
      </c>
      <c r="M18" s="109" t="s">
        <v>564</v>
      </c>
      <c r="N18" s="12" t="s">
        <v>1539</v>
      </c>
      <c r="O18" s="100" t="s">
        <v>1538</v>
      </c>
      <c r="P18" s="131">
        <v>724180503</v>
      </c>
      <c r="Q18" s="84"/>
      <c r="R18" s="3"/>
      <c r="S18" s="2"/>
      <c r="T18" s="241"/>
      <c r="U18" s="170">
        <f>461000+561600</f>
        <v>1022600</v>
      </c>
      <c r="V18" s="48">
        <f t="shared" si="2"/>
        <v>1070.7853403141362</v>
      </c>
      <c r="W18" s="171">
        <f t="shared" si="3"/>
        <v>570.24096110082269</v>
      </c>
      <c r="X18" s="69">
        <v>5800</v>
      </c>
      <c r="Y18" s="48">
        <f t="shared" si="4"/>
        <v>6.0732984293193715</v>
      </c>
      <c r="Z18" s="137">
        <f t="shared" si="5"/>
        <v>3.2343023414676035</v>
      </c>
      <c r="AA18" s="69">
        <v>600000</v>
      </c>
      <c r="AB18" s="48">
        <f t="shared" si="6"/>
        <v>628.27225130890054</v>
      </c>
      <c r="AC18" s="137">
        <f t="shared" si="7"/>
        <v>334.58300084147623</v>
      </c>
      <c r="AD18" s="70">
        <f t="shared" si="8"/>
        <v>1628400</v>
      </c>
      <c r="AE18" s="71">
        <f t="shared" si="9"/>
        <v>1705.1308900523561</v>
      </c>
      <c r="AF18" s="193">
        <f t="shared" si="10"/>
        <v>908.05826428376656</v>
      </c>
      <c r="AG18" s="185">
        <f t="shared" si="11"/>
        <v>1.1791882399797241E-2</v>
      </c>
      <c r="AH18" s="180">
        <f t="shared" si="12"/>
        <v>2.7242158092848183E-2</v>
      </c>
      <c r="AI18" s="189">
        <v>955</v>
      </c>
      <c r="AJ18" s="125">
        <v>1793.277</v>
      </c>
      <c r="AK18" s="149">
        <v>446</v>
      </c>
      <c r="AL18" s="221">
        <v>187</v>
      </c>
      <c r="AM18" s="216">
        <v>51.162790697674424</v>
      </c>
      <c r="AN18" s="213">
        <v>7.913669064748202</v>
      </c>
      <c r="AO18" s="127">
        <v>27.619</v>
      </c>
      <c r="AP18" s="133">
        <v>11.955</v>
      </c>
      <c r="AQ18" s="224">
        <f t="shared" si="13"/>
        <v>1.0754504504504505</v>
      </c>
      <c r="AR18" s="158">
        <v>888</v>
      </c>
      <c r="AS18" s="229">
        <f t="shared" si="14"/>
        <v>0.39365210222588626</v>
      </c>
      <c r="AT18" s="230">
        <v>2426</v>
      </c>
      <c r="AU18" s="203">
        <v>16.753926701570681</v>
      </c>
      <c r="AV18" s="204">
        <v>67.015706806282722</v>
      </c>
      <c r="AW18" s="205">
        <v>16.230366492146597</v>
      </c>
      <c r="AX18" s="123">
        <v>5.7275999999999998</v>
      </c>
      <c r="AY18" s="281">
        <v>2.9498525073746311</v>
      </c>
      <c r="AZ18" s="282">
        <v>47.197640117994098</v>
      </c>
      <c r="BA18" s="283">
        <f t="shared" si="15"/>
        <v>49.852507374631273</v>
      </c>
      <c r="BB18" s="234">
        <v>77.464788732394368</v>
      </c>
      <c r="BC18" s="19">
        <v>2010</v>
      </c>
      <c r="BD18" s="263" t="s">
        <v>556</v>
      </c>
      <c r="BE18" s="261" t="s">
        <v>556</v>
      </c>
      <c r="BF18" s="260" t="s">
        <v>557</v>
      </c>
      <c r="BG18" s="256">
        <v>2.1791767554479402</v>
      </c>
      <c r="BH18" s="254" t="s">
        <v>557</v>
      </c>
      <c r="BI18" s="249">
        <v>0</v>
      </c>
      <c r="BJ18" s="308" t="s">
        <v>556</v>
      </c>
      <c r="BK18" s="307" t="s">
        <v>556</v>
      </c>
      <c r="BL18" s="319" t="s">
        <v>1728</v>
      </c>
      <c r="BM18" s="320" t="s">
        <v>556</v>
      </c>
      <c r="BN18" s="328" t="s">
        <v>1957</v>
      </c>
      <c r="BO18" s="21" t="s">
        <v>556</v>
      </c>
      <c r="BP18" s="10" t="s">
        <v>556</v>
      </c>
      <c r="BQ18" s="10" t="s">
        <v>556</v>
      </c>
    </row>
    <row r="19" spans="1:70" s="56" customFormat="1" ht="13.95" customHeight="1" x14ac:dyDescent="0.3">
      <c r="A19" s="56" t="s">
        <v>459</v>
      </c>
      <c r="B19" s="57" t="s">
        <v>462</v>
      </c>
      <c r="C19" s="55" t="s">
        <v>225</v>
      </c>
      <c r="D19" s="58">
        <v>1</v>
      </c>
      <c r="E19" s="59"/>
      <c r="F19" s="60" t="s">
        <v>454</v>
      </c>
      <c r="G19" s="61" t="s">
        <v>226</v>
      </c>
      <c r="H19" s="61" t="s">
        <v>1227</v>
      </c>
      <c r="I19" s="62" t="s">
        <v>1227</v>
      </c>
      <c r="J19" s="63" t="s">
        <v>1741</v>
      </c>
      <c r="K19" s="99" t="s">
        <v>1742</v>
      </c>
      <c r="L19" s="130">
        <v>491541130</v>
      </c>
      <c r="M19" s="109" t="s">
        <v>564</v>
      </c>
      <c r="N19" s="12" t="s">
        <v>1249</v>
      </c>
      <c r="O19" s="100" t="s">
        <v>1250</v>
      </c>
      <c r="P19" s="131">
        <v>724187501</v>
      </c>
      <c r="Q19" s="67"/>
      <c r="R19" s="68"/>
      <c r="S19" s="99"/>
      <c r="T19" s="65"/>
      <c r="U19" s="170">
        <f>136620+101722+444785</f>
        <v>683127</v>
      </c>
      <c r="V19" s="48">
        <f t="shared" si="2"/>
        <v>1316.2369942196531</v>
      </c>
      <c r="W19" s="171">
        <f t="shared" si="3"/>
        <v>1321.0306300299333</v>
      </c>
      <c r="X19" s="69">
        <v>212000</v>
      </c>
      <c r="Y19" s="48">
        <f t="shared" si="4"/>
        <v>408.47784200385354</v>
      </c>
      <c r="Z19" s="137">
        <f t="shared" si="5"/>
        <v>409.9654874808723</v>
      </c>
      <c r="AA19" s="69">
        <v>0</v>
      </c>
      <c r="AB19" s="48">
        <f t="shared" si="6"/>
        <v>0</v>
      </c>
      <c r="AC19" s="137">
        <f t="shared" si="7"/>
        <v>0</v>
      </c>
      <c r="AD19" s="70">
        <f t="shared" si="8"/>
        <v>895127</v>
      </c>
      <c r="AE19" s="71">
        <f t="shared" si="9"/>
        <v>1724.7148362235068</v>
      </c>
      <c r="AF19" s="193">
        <f t="shared" si="10"/>
        <v>1730.9961175108056</v>
      </c>
      <c r="AG19" s="185">
        <f t="shared" si="11"/>
        <v>3.362610818933133E-2</v>
      </c>
      <c r="AH19" s="180">
        <f t="shared" si="12"/>
        <v>0.25108751753155678</v>
      </c>
      <c r="AI19" s="189">
        <v>519</v>
      </c>
      <c r="AJ19" s="125">
        <v>517.11670000000004</v>
      </c>
      <c r="AK19" s="149">
        <v>218</v>
      </c>
      <c r="AL19" s="221">
        <v>135</v>
      </c>
      <c r="AM19" s="216">
        <v>84.745762711864401</v>
      </c>
      <c r="AN19" s="213">
        <v>17.355371900826448</v>
      </c>
      <c r="AO19" s="127">
        <v>5.3239999999999998</v>
      </c>
      <c r="AP19" s="133">
        <v>0.71299999999999997</v>
      </c>
      <c r="AQ19" s="224">
        <f t="shared" si="13"/>
        <v>1.0767634854771784</v>
      </c>
      <c r="AR19" s="158">
        <v>482</v>
      </c>
      <c r="AS19" s="229">
        <f t="shared" si="14"/>
        <v>0.74461979913916787</v>
      </c>
      <c r="AT19" s="230">
        <v>697</v>
      </c>
      <c r="AU19" s="203">
        <v>15.606936416184972</v>
      </c>
      <c r="AV19" s="204">
        <v>67.052023121387293</v>
      </c>
      <c r="AW19" s="205">
        <v>17.341040462427745</v>
      </c>
      <c r="AX19" s="123">
        <v>2.9674</v>
      </c>
      <c r="AY19" s="281">
        <v>6.5217391304347823</v>
      </c>
      <c r="AZ19" s="282">
        <v>46.086956521739133</v>
      </c>
      <c r="BA19" s="283">
        <f t="shared" si="15"/>
        <v>47.391304347826086</v>
      </c>
      <c r="BB19" s="234">
        <v>76.851851851851848</v>
      </c>
      <c r="BC19" s="20">
        <v>2001</v>
      </c>
      <c r="BD19" s="263" t="s">
        <v>556</v>
      </c>
      <c r="BE19" s="261" t="s">
        <v>556</v>
      </c>
      <c r="BF19" s="260" t="s">
        <v>557</v>
      </c>
      <c r="BG19" s="256">
        <v>30.139720558882239</v>
      </c>
      <c r="BH19" s="248" t="s">
        <v>556</v>
      </c>
      <c r="BI19" s="249">
        <v>65.336134453781511</v>
      </c>
      <c r="BJ19" s="308" t="s">
        <v>556</v>
      </c>
      <c r="BK19" s="307" t="s">
        <v>750</v>
      </c>
      <c r="BL19" s="319" t="s">
        <v>1728</v>
      </c>
      <c r="BM19" s="320" t="s">
        <v>556</v>
      </c>
      <c r="BN19" s="321" t="s">
        <v>1803</v>
      </c>
      <c r="BO19" s="145" t="s">
        <v>556</v>
      </c>
      <c r="BP19" s="14" t="s">
        <v>556</v>
      </c>
      <c r="BQ19" s="14" t="s">
        <v>557</v>
      </c>
    </row>
    <row r="20" spans="1:70" s="56" customFormat="1" ht="13.95" customHeight="1" x14ac:dyDescent="0.3">
      <c r="A20" s="3" t="s">
        <v>459</v>
      </c>
      <c r="B20" s="57" t="s">
        <v>462</v>
      </c>
      <c r="C20" s="55" t="s">
        <v>383</v>
      </c>
      <c r="D20" s="58">
        <v>2</v>
      </c>
      <c r="E20" s="59" t="s">
        <v>720</v>
      </c>
      <c r="F20" s="60" t="s">
        <v>456</v>
      </c>
      <c r="G20" s="61" t="s">
        <v>531</v>
      </c>
      <c r="H20" s="61" t="s">
        <v>531</v>
      </c>
      <c r="I20" s="62" t="s">
        <v>531</v>
      </c>
      <c r="J20" s="117" t="s">
        <v>1744</v>
      </c>
      <c r="K20" s="100" t="s">
        <v>1743</v>
      </c>
      <c r="L20" s="131">
        <v>499693310</v>
      </c>
      <c r="M20" s="109" t="s">
        <v>564</v>
      </c>
      <c r="N20" s="12" t="s">
        <v>1540</v>
      </c>
      <c r="O20" s="100" t="s">
        <v>1541</v>
      </c>
      <c r="P20" s="131"/>
      <c r="Q20" s="82"/>
      <c r="R20" s="80"/>
      <c r="S20" s="116"/>
      <c r="T20" s="241"/>
      <c r="U20" s="170">
        <v>0</v>
      </c>
      <c r="V20" s="48">
        <f t="shared" si="2"/>
        <v>0</v>
      </c>
      <c r="W20" s="171">
        <f t="shared" si="3"/>
        <v>0</v>
      </c>
      <c r="X20" s="69">
        <v>125797</v>
      </c>
      <c r="Y20" s="48">
        <f t="shared" si="4"/>
        <v>93.738450074515654</v>
      </c>
      <c r="Z20" s="137">
        <f t="shared" si="5"/>
        <v>126.80805328968398</v>
      </c>
      <c r="AA20" s="69">
        <v>0</v>
      </c>
      <c r="AB20" s="48">
        <f t="shared" si="6"/>
        <v>0</v>
      </c>
      <c r="AC20" s="137">
        <f t="shared" si="7"/>
        <v>0</v>
      </c>
      <c r="AD20" s="70">
        <f t="shared" si="8"/>
        <v>125797</v>
      </c>
      <c r="AE20" s="71">
        <f t="shared" si="9"/>
        <v>93.738450074515654</v>
      </c>
      <c r="AF20" s="193">
        <f t="shared" si="10"/>
        <v>126.80805328968398</v>
      </c>
      <c r="AG20" s="185">
        <f t="shared" si="11"/>
        <v>2.2067713358477326E-3</v>
      </c>
      <c r="AH20" s="180">
        <f t="shared" si="12"/>
        <v>1.9625117004680188E-2</v>
      </c>
      <c r="AI20" s="189">
        <v>1342</v>
      </c>
      <c r="AJ20" s="125">
        <v>992.02689999999996</v>
      </c>
      <c r="AK20" s="149">
        <v>589</v>
      </c>
      <c r="AL20" s="221">
        <v>361</v>
      </c>
      <c r="AM20" s="216">
        <v>84.412955465587046</v>
      </c>
      <c r="AN20" s="213">
        <v>11.058451816745658</v>
      </c>
      <c r="AO20" s="127">
        <v>11.401</v>
      </c>
      <c r="AP20" s="133">
        <v>1.282</v>
      </c>
      <c r="AQ20" s="224">
        <f t="shared" si="13"/>
        <v>1.1027115858668859</v>
      </c>
      <c r="AR20" s="158">
        <v>1217</v>
      </c>
      <c r="AS20" s="229">
        <f t="shared" si="14"/>
        <v>0.7285559174809989</v>
      </c>
      <c r="AT20" s="230">
        <v>1842</v>
      </c>
      <c r="AU20" s="203">
        <v>14.977645305514159</v>
      </c>
      <c r="AV20" s="204">
        <v>64.754098360655746</v>
      </c>
      <c r="AW20" s="205">
        <v>20.268256333830102</v>
      </c>
      <c r="AX20" s="123">
        <v>5.3409000000000004</v>
      </c>
      <c r="AY20" s="281">
        <v>3.6328871892925432</v>
      </c>
      <c r="AZ20" s="282">
        <v>41.108986615678781</v>
      </c>
      <c r="BA20" s="283">
        <f t="shared" si="15"/>
        <v>55.258126195028673</v>
      </c>
      <c r="BB20" s="234">
        <v>62.132352941176464</v>
      </c>
      <c r="BC20" s="19">
        <v>2010</v>
      </c>
      <c r="BD20" s="263" t="s">
        <v>556</v>
      </c>
      <c r="BE20" s="261" t="s">
        <v>556</v>
      </c>
      <c r="BF20" s="259" t="s">
        <v>556</v>
      </c>
      <c r="BG20" s="256">
        <v>76.28205128205127</v>
      </c>
      <c r="BH20" s="248" t="s">
        <v>556</v>
      </c>
      <c r="BI20" s="249">
        <v>60.390161153519927</v>
      </c>
      <c r="BJ20" s="308" t="s">
        <v>556</v>
      </c>
      <c r="BK20" s="307" t="s">
        <v>556</v>
      </c>
      <c r="BL20" s="319" t="s">
        <v>1728</v>
      </c>
      <c r="BM20" s="320" t="s">
        <v>1959</v>
      </c>
      <c r="BN20" s="321" t="s">
        <v>1957</v>
      </c>
      <c r="BO20" s="21" t="s">
        <v>556</v>
      </c>
      <c r="BP20" s="10" t="s">
        <v>556</v>
      </c>
      <c r="BQ20" s="10" t="s">
        <v>556</v>
      </c>
      <c r="BR20" s="3"/>
    </row>
    <row r="21" spans="1:70" s="56" customFormat="1" ht="13.95" customHeight="1" x14ac:dyDescent="0.3">
      <c r="A21" s="3" t="s">
        <v>459</v>
      </c>
      <c r="B21" s="57" t="s">
        <v>462</v>
      </c>
      <c r="C21" s="55" t="s">
        <v>384</v>
      </c>
      <c r="D21" s="58">
        <v>1</v>
      </c>
      <c r="E21" s="59"/>
      <c r="F21" s="60" t="s">
        <v>456</v>
      </c>
      <c r="G21" s="61" t="s">
        <v>531</v>
      </c>
      <c r="H21" s="61" t="s">
        <v>531</v>
      </c>
      <c r="I21" s="62" t="s">
        <v>531</v>
      </c>
      <c r="J21" s="117" t="s">
        <v>1746</v>
      </c>
      <c r="K21" s="100" t="s">
        <v>1745</v>
      </c>
      <c r="L21" s="131">
        <v>499694205</v>
      </c>
      <c r="M21" s="109" t="s">
        <v>564</v>
      </c>
      <c r="N21" s="12" t="s">
        <v>1542</v>
      </c>
      <c r="O21" s="100" t="s">
        <v>1543</v>
      </c>
      <c r="P21" s="131">
        <v>603302591</v>
      </c>
      <c r="Q21" s="82"/>
      <c r="R21" s="80"/>
      <c r="S21" s="116"/>
      <c r="T21" s="241"/>
      <c r="U21" s="170">
        <v>0</v>
      </c>
      <c r="V21" s="48">
        <f t="shared" si="2"/>
        <v>0</v>
      </c>
      <c r="W21" s="171">
        <f t="shared" si="3"/>
        <v>0</v>
      </c>
      <c r="X21" s="69">
        <v>5100</v>
      </c>
      <c r="Y21" s="48">
        <f t="shared" si="4"/>
        <v>31.677018633540374</v>
      </c>
      <c r="Z21" s="137">
        <f t="shared" si="5"/>
        <v>9.4884338781740905</v>
      </c>
      <c r="AA21" s="69">
        <v>0</v>
      </c>
      <c r="AB21" s="48">
        <f t="shared" si="6"/>
        <v>0</v>
      </c>
      <c r="AC21" s="137">
        <f t="shared" si="7"/>
        <v>0</v>
      </c>
      <c r="AD21" s="70">
        <f t="shared" si="8"/>
        <v>5100</v>
      </c>
      <c r="AE21" s="71">
        <f t="shared" si="9"/>
        <v>31.677018633540374</v>
      </c>
      <c r="AF21" s="193">
        <f t="shared" si="10"/>
        <v>9.4884338781740905</v>
      </c>
      <c r="AG21" s="185">
        <f t="shared" si="11"/>
        <v>5.4255319148936167E-4</v>
      </c>
      <c r="AH21" s="180">
        <f t="shared" si="12"/>
        <v>8.3606557377049178E-3</v>
      </c>
      <c r="AI21" s="189">
        <v>161</v>
      </c>
      <c r="AJ21" s="125">
        <v>537.49649999999997</v>
      </c>
      <c r="AK21" s="149">
        <v>84</v>
      </c>
      <c r="AL21" s="221">
        <v>51</v>
      </c>
      <c r="AM21" s="216">
        <v>85.714285714285708</v>
      </c>
      <c r="AN21" s="213">
        <v>25.842696629213481</v>
      </c>
      <c r="AO21" s="127">
        <v>1.88</v>
      </c>
      <c r="AP21" s="133">
        <v>0.122</v>
      </c>
      <c r="AQ21" s="224">
        <f t="shared" si="13"/>
        <v>0.99382716049382713</v>
      </c>
      <c r="AR21" s="158">
        <v>162</v>
      </c>
      <c r="AS21" s="229">
        <f t="shared" si="14"/>
        <v>0.4128205128205128</v>
      </c>
      <c r="AT21" s="230">
        <v>390</v>
      </c>
      <c r="AU21" s="203">
        <v>11.180124223602485</v>
      </c>
      <c r="AV21" s="204">
        <v>58.385093167701854</v>
      </c>
      <c r="AW21" s="205">
        <v>30.434782608695656</v>
      </c>
      <c r="AX21" s="123">
        <v>16.666699999999999</v>
      </c>
      <c r="AY21" s="281">
        <v>1.9230769230769231</v>
      </c>
      <c r="AZ21" s="282">
        <v>23.076923076923077</v>
      </c>
      <c r="BA21" s="283">
        <f t="shared" si="15"/>
        <v>75</v>
      </c>
      <c r="BB21" s="234">
        <v>88.235294117647058</v>
      </c>
      <c r="BC21" s="243" t="s">
        <v>1811</v>
      </c>
      <c r="BD21" s="263" t="s">
        <v>556</v>
      </c>
      <c r="BE21" s="262" t="s">
        <v>557</v>
      </c>
      <c r="BF21" s="260" t="s">
        <v>557</v>
      </c>
      <c r="BG21" s="256">
        <v>0</v>
      </c>
      <c r="BH21" s="248" t="s">
        <v>556</v>
      </c>
      <c r="BI21" s="249">
        <v>40.28776978417266</v>
      </c>
      <c r="BJ21" s="309" t="s">
        <v>557</v>
      </c>
      <c r="BK21" s="307" t="s">
        <v>557</v>
      </c>
      <c r="BL21" s="319" t="s">
        <v>1728</v>
      </c>
      <c r="BM21" s="320" t="s">
        <v>556</v>
      </c>
      <c r="BN21" s="321" t="s">
        <v>1733</v>
      </c>
      <c r="BO21" s="21" t="s">
        <v>999</v>
      </c>
      <c r="BP21" s="10" t="s">
        <v>557</v>
      </c>
      <c r="BQ21" s="10" t="s">
        <v>557</v>
      </c>
      <c r="BR21" s="3"/>
    </row>
    <row r="22" spans="1:70" s="56" customFormat="1" ht="13.95" customHeight="1" x14ac:dyDescent="0.3">
      <c r="A22" s="56" t="s">
        <v>459</v>
      </c>
      <c r="B22" s="57" t="s">
        <v>462</v>
      </c>
      <c r="C22" s="55" t="s">
        <v>119</v>
      </c>
      <c r="D22" s="58">
        <v>1</v>
      </c>
      <c r="E22" s="97" t="s">
        <v>509</v>
      </c>
      <c r="F22" s="60" t="s">
        <v>453</v>
      </c>
      <c r="G22" s="61" t="s">
        <v>117</v>
      </c>
      <c r="H22" s="61" t="s">
        <v>117</v>
      </c>
      <c r="I22" s="62" t="s">
        <v>117</v>
      </c>
      <c r="J22" s="63" t="s">
        <v>1747</v>
      </c>
      <c r="K22" s="99" t="s">
        <v>1015</v>
      </c>
      <c r="L22" s="130">
        <v>493622703</v>
      </c>
      <c r="M22" s="109" t="s">
        <v>537</v>
      </c>
      <c r="N22" s="12" t="s">
        <v>1016</v>
      </c>
      <c r="O22" s="100"/>
      <c r="P22" s="131">
        <v>724183052</v>
      </c>
      <c r="Q22" s="67"/>
      <c r="R22" s="68"/>
      <c r="S22" s="99"/>
      <c r="T22" s="65"/>
      <c r="U22" s="170">
        <f>380000+306200</f>
        <v>686200</v>
      </c>
      <c r="V22" s="48">
        <f t="shared" si="2"/>
        <v>6072.5663716814161</v>
      </c>
      <c r="W22" s="171">
        <f t="shared" si="3"/>
        <v>3345.8824240727999</v>
      </c>
      <c r="X22" s="69">
        <v>64440</v>
      </c>
      <c r="Y22" s="48">
        <f t="shared" si="4"/>
        <v>570.26548672566366</v>
      </c>
      <c r="Z22" s="137">
        <f t="shared" si="5"/>
        <v>314.20673769637312</v>
      </c>
      <c r="AA22" s="69">
        <v>0</v>
      </c>
      <c r="AB22" s="48">
        <f t="shared" si="6"/>
        <v>0</v>
      </c>
      <c r="AC22" s="137">
        <f t="shared" si="7"/>
        <v>0</v>
      </c>
      <c r="AD22" s="70">
        <f t="shared" si="8"/>
        <v>750640</v>
      </c>
      <c r="AE22" s="71">
        <f t="shared" si="9"/>
        <v>6642.8318584070794</v>
      </c>
      <c r="AF22" s="193">
        <f t="shared" si="10"/>
        <v>3660.0891617691732</v>
      </c>
      <c r="AG22" s="185">
        <f t="shared" si="11"/>
        <v>7.0350515463917518E-2</v>
      </c>
      <c r="AH22" s="180">
        <f t="shared" si="12"/>
        <v>0.14660937499999999</v>
      </c>
      <c r="AI22" s="189">
        <v>113</v>
      </c>
      <c r="AJ22" s="125">
        <v>205.08789999999999</v>
      </c>
      <c r="AK22" s="149">
        <v>59</v>
      </c>
      <c r="AL22" s="221">
        <v>40</v>
      </c>
      <c r="AM22" s="216">
        <v>100</v>
      </c>
      <c r="AN22" s="213">
        <v>1.639344262295082</v>
      </c>
      <c r="AO22" s="127">
        <v>2.1339999999999999</v>
      </c>
      <c r="AP22" s="133">
        <v>1.024</v>
      </c>
      <c r="AQ22" s="224">
        <f t="shared" si="13"/>
        <v>1.1894736842105262</v>
      </c>
      <c r="AR22" s="158">
        <v>95</v>
      </c>
      <c r="AS22" s="229">
        <f t="shared" si="14"/>
        <v>0.5113122171945701</v>
      </c>
      <c r="AT22" s="230">
        <v>221</v>
      </c>
      <c r="AU22" s="203">
        <v>8.8495575221238933</v>
      </c>
      <c r="AV22" s="204">
        <v>63.716814159292042</v>
      </c>
      <c r="AW22" s="205">
        <v>27.43362831858407</v>
      </c>
      <c r="AX22" s="123">
        <v>1.3513999999999999</v>
      </c>
      <c r="AY22" s="281">
        <v>8.695652173913043</v>
      </c>
      <c r="AZ22" s="282">
        <v>28.260869565217391</v>
      </c>
      <c r="BA22" s="283">
        <f t="shared" si="15"/>
        <v>63.043478260869563</v>
      </c>
      <c r="BB22" s="234">
        <v>94.73684210526315</v>
      </c>
      <c r="BC22" s="20">
        <v>2005</v>
      </c>
      <c r="BD22" s="263" t="s">
        <v>556</v>
      </c>
      <c r="BE22" s="261" t="s">
        <v>556</v>
      </c>
      <c r="BF22" s="260" t="s">
        <v>557</v>
      </c>
      <c r="BG22" s="256">
        <v>40.833333333333336</v>
      </c>
      <c r="BH22" s="254" t="s">
        <v>557</v>
      </c>
      <c r="BI22" s="249">
        <v>0</v>
      </c>
      <c r="BJ22" s="309" t="s">
        <v>557</v>
      </c>
      <c r="BK22" s="307" t="s">
        <v>557</v>
      </c>
      <c r="BL22" s="319" t="s">
        <v>1728</v>
      </c>
      <c r="BM22" s="320" t="s">
        <v>557</v>
      </c>
      <c r="BN22" s="321" t="s">
        <v>557</v>
      </c>
      <c r="BO22" s="145" t="s">
        <v>557</v>
      </c>
      <c r="BP22" s="14" t="s">
        <v>557</v>
      </c>
      <c r="BQ22" s="14" t="s">
        <v>557</v>
      </c>
    </row>
    <row r="23" spans="1:70" s="56" customFormat="1" ht="13.95" customHeight="1" x14ac:dyDescent="0.3">
      <c r="A23" s="56" t="s">
        <v>459</v>
      </c>
      <c r="B23" s="57" t="s">
        <v>462</v>
      </c>
      <c r="C23" s="55" t="s">
        <v>306</v>
      </c>
      <c r="D23" s="58">
        <v>4</v>
      </c>
      <c r="E23" s="59" t="s">
        <v>672</v>
      </c>
      <c r="F23" s="60" t="s">
        <v>455</v>
      </c>
      <c r="G23" s="61" t="s">
        <v>528</v>
      </c>
      <c r="H23" s="61" t="s">
        <v>528</v>
      </c>
      <c r="I23" s="62" t="s">
        <v>528</v>
      </c>
      <c r="J23" s="63" t="s">
        <v>1748</v>
      </c>
      <c r="K23" s="99" t="s">
        <v>1399</v>
      </c>
      <c r="L23" s="130">
        <v>494666900</v>
      </c>
      <c r="M23" s="109" t="s">
        <v>564</v>
      </c>
      <c r="N23" s="12" t="s">
        <v>1398</v>
      </c>
      <c r="O23" s="100"/>
      <c r="P23" s="131">
        <v>724183043</v>
      </c>
      <c r="Q23" s="67"/>
      <c r="R23" s="68"/>
      <c r="S23" s="99"/>
      <c r="T23" s="65"/>
      <c r="U23" s="170">
        <f>74660+60000+678000</f>
        <v>812660</v>
      </c>
      <c r="V23" s="48">
        <f t="shared" si="2"/>
        <v>1214.7384155455904</v>
      </c>
      <c r="W23" s="171">
        <f t="shared" si="3"/>
        <v>587.17482609138278</v>
      </c>
      <c r="X23" s="69">
        <v>0</v>
      </c>
      <c r="Y23" s="48">
        <f t="shared" si="4"/>
        <v>0</v>
      </c>
      <c r="Z23" s="137">
        <f t="shared" si="5"/>
        <v>0</v>
      </c>
      <c r="AA23" s="69">
        <v>0</v>
      </c>
      <c r="AB23" s="48">
        <f t="shared" si="6"/>
        <v>0</v>
      </c>
      <c r="AC23" s="137">
        <f t="shared" si="7"/>
        <v>0</v>
      </c>
      <c r="AD23" s="70">
        <f t="shared" si="8"/>
        <v>812660</v>
      </c>
      <c r="AE23" s="71">
        <f t="shared" si="9"/>
        <v>1214.7384155455904</v>
      </c>
      <c r="AF23" s="193">
        <f t="shared" si="10"/>
        <v>587.17482609138278</v>
      </c>
      <c r="AG23" s="185">
        <f t="shared" si="11"/>
        <v>2.134366382140512E-2</v>
      </c>
      <c r="AH23" s="180">
        <f t="shared" si="12"/>
        <v>6.9756223175965665E-2</v>
      </c>
      <c r="AI23" s="189">
        <v>669</v>
      </c>
      <c r="AJ23" s="125">
        <v>1384.0171</v>
      </c>
      <c r="AK23" s="149">
        <v>289</v>
      </c>
      <c r="AL23" s="221">
        <v>182</v>
      </c>
      <c r="AM23" s="216">
        <v>92.477876106194685</v>
      </c>
      <c r="AN23" s="213">
        <v>15.094339622641511</v>
      </c>
      <c r="AO23" s="127">
        <v>7.6150000000000002</v>
      </c>
      <c r="AP23" s="133">
        <v>2.33</v>
      </c>
      <c r="AQ23" s="224">
        <f t="shared" si="13"/>
        <v>1.1112956810631229</v>
      </c>
      <c r="AR23" s="158">
        <v>602</v>
      </c>
      <c r="AS23" s="229">
        <f t="shared" si="14"/>
        <v>0.67575757575757578</v>
      </c>
      <c r="AT23" s="230">
        <v>990</v>
      </c>
      <c r="AU23" s="203">
        <v>18.086696562032888</v>
      </c>
      <c r="AV23" s="204">
        <v>64.872944693572492</v>
      </c>
      <c r="AW23" s="205">
        <v>17.040358744394617</v>
      </c>
      <c r="AX23" s="123">
        <v>2.5463</v>
      </c>
      <c r="AY23" s="281">
        <v>11.355311355311356</v>
      </c>
      <c r="AZ23" s="282">
        <v>45.787545787545788</v>
      </c>
      <c r="BA23" s="283">
        <f t="shared" si="15"/>
        <v>42.857142857142854</v>
      </c>
      <c r="BB23" s="234">
        <v>79.629629629629619</v>
      </c>
      <c r="BC23" s="20">
        <v>2008</v>
      </c>
      <c r="BD23" s="263" t="s">
        <v>556</v>
      </c>
      <c r="BE23" s="261" t="s">
        <v>556</v>
      </c>
      <c r="BF23" s="260" t="s">
        <v>557</v>
      </c>
      <c r="BG23" s="256">
        <v>24.531516183986373</v>
      </c>
      <c r="BH23" s="254" t="s">
        <v>557</v>
      </c>
      <c r="BI23" s="249">
        <v>0</v>
      </c>
      <c r="BJ23" s="308" t="s">
        <v>556</v>
      </c>
      <c r="BK23" s="307" t="s">
        <v>750</v>
      </c>
      <c r="BL23" s="319" t="s">
        <v>1728</v>
      </c>
      <c r="BM23" s="320" t="s">
        <v>556</v>
      </c>
      <c r="BN23" s="321" t="s">
        <v>1838</v>
      </c>
      <c r="BO23" s="145" t="s">
        <v>556</v>
      </c>
      <c r="BP23" s="14" t="s">
        <v>556</v>
      </c>
      <c r="BQ23" s="14" t="s">
        <v>557</v>
      </c>
    </row>
    <row r="24" spans="1:70" s="56" customFormat="1" ht="13.95" customHeight="1" x14ac:dyDescent="0.3">
      <c r="A24" s="56" t="s">
        <v>459</v>
      </c>
      <c r="B24" s="57" t="s">
        <v>462</v>
      </c>
      <c r="C24" s="55" t="s">
        <v>14</v>
      </c>
      <c r="D24" s="58">
        <v>1</v>
      </c>
      <c r="E24" s="59"/>
      <c r="F24" s="60" t="s">
        <v>452</v>
      </c>
      <c r="G24" s="61" t="s">
        <v>11</v>
      </c>
      <c r="H24" s="61" t="s">
        <v>525</v>
      </c>
      <c r="I24" s="62" t="s">
        <v>525</v>
      </c>
      <c r="J24" s="63" t="s">
        <v>1750</v>
      </c>
      <c r="K24" s="99" t="s">
        <v>1749</v>
      </c>
      <c r="L24" s="130">
        <v>495428270</v>
      </c>
      <c r="M24" s="109" t="s">
        <v>564</v>
      </c>
      <c r="N24" s="12" t="s">
        <v>802</v>
      </c>
      <c r="O24" s="100" t="s">
        <v>801</v>
      </c>
      <c r="P24" s="131">
        <v>608339074</v>
      </c>
      <c r="Q24" s="67"/>
      <c r="R24" s="68"/>
      <c r="S24" s="99"/>
      <c r="T24" s="65"/>
      <c r="U24" s="170">
        <v>0</v>
      </c>
      <c r="V24" s="48">
        <f t="shared" si="2"/>
        <v>0</v>
      </c>
      <c r="W24" s="171">
        <f t="shared" si="3"/>
        <v>0</v>
      </c>
      <c r="X24" s="69">
        <v>0</v>
      </c>
      <c r="Y24" s="48">
        <f t="shared" si="4"/>
        <v>0</v>
      </c>
      <c r="Z24" s="137">
        <f t="shared" si="5"/>
        <v>0</v>
      </c>
      <c r="AA24" s="69">
        <v>0</v>
      </c>
      <c r="AB24" s="48">
        <f t="shared" si="6"/>
        <v>0</v>
      </c>
      <c r="AC24" s="137">
        <f t="shared" si="7"/>
        <v>0</v>
      </c>
      <c r="AD24" s="70">
        <f t="shared" si="8"/>
        <v>0</v>
      </c>
      <c r="AE24" s="71">
        <f t="shared" si="9"/>
        <v>0</v>
      </c>
      <c r="AF24" s="193">
        <f t="shared" si="10"/>
        <v>0</v>
      </c>
      <c r="AG24" s="185">
        <f t="shared" si="11"/>
        <v>0</v>
      </c>
      <c r="AH24" s="180">
        <f t="shared" si="12"/>
        <v>0</v>
      </c>
      <c r="AI24" s="189">
        <v>406</v>
      </c>
      <c r="AJ24" s="125">
        <v>410.8716</v>
      </c>
      <c r="AK24" s="149">
        <v>154</v>
      </c>
      <c r="AL24" s="221">
        <v>99</v>
      </c>
      <c r="AM24" s="216">
        <v>90.598290598290603</v>
      </c>
      <c r="AN24" s="213">
        <v>1.3157894736842106</v>
      </c>
      <c r="AO24" s="127">
        <v>3.3029999999999999</v>
      </c>
      <c r="AP24" s="133">
        <v>0.79200000000000004</v>
      </c>
      <c r="AQ24" s="224">
        <f t="shared" si="13"/>
        <v>1.4551971326164874</v>
      </c>
      <c r="AR24" s="158">
        <v>279</v>
      </c>
      <c r="AS24" s="229">
        <f t="shared" si="14"/>
        <v>1.1941176470588235</v>
      </c>
      <c r="AT24" s="230">
        <v>340</v>
      </c>
      <c r="AU24" s="203">
        <v>17.980295566502463</v>
      </c>
      <c r="AV24" s="204">
        <v>65.517241379310349</v>
      </c>
      <c r="AW24" s="205">
        <v>16.502463054187192</v>
      </c>
      <c r="AX24" s="123">
        <v>2.7132000000000001</v>
      </c>
      <c r="AY24" s="281">
        <v>1.2345679012345678</v>
      </c>
      <c r="AZ24" s="282">
        <v>35.185185185185183</v>
      </c>
      <c r="BA24" s="283">
        <f t="shared" si="15"/>
        <v>63.580246913580247</v>
      </c>
      <c r="BB24" s="234">
        <v>67.647058823529406</v>
      </c>
      <c r="BC24" s="20">
        <v>2012</v>
      </c>
      <c r="BD24" s="263" t="s">
        <v>556</v>
      </c>
      <c r="BE24" s="261" t="s">
        <v>556</v>
      </c>
      <c r="BF24" s="259" t="s">
        <v>556</v>
      </c>
      <c r="BG24" s="257" t="s">
        <v>1686</v>
      </c>
      <c r="BH24" s="248" t="s">
        <v>556</v>
      </c>
      <c r="BI24" s="249">
        <v>59.45945945945946</v>
      </c>
      <c r="BJ24" s="309" t="s">
        <v>557</v>
      </c>
      <c r="BK24" s="307" t="s">
        <v>557</v>
      </c>
      <c r="BL24" s="319" t="s">
        <v>557</v>
      </c>
      <c r="BM24" s="320" t="s">
        <v>556</v>
      </c>
      <c r="BN24" s="321" t="s">
        <v>1733</v>
      </c>
      <c r="BO24" s="145" t="s">
        <v>556</v>
      </c>
      <c r="BP24" s="14" t="s">
        <v>557</v>
      </c>
      <c r="BQ24" s="14" t="s">
        <v>556</v>
      </c>
      <c r="BR24" s="72" t="s">
        <v>2504</v>
      </c>
    </row>
    <row r="25" spans="1:70" s="56" customFormat="1" ht="13.95" customHeight="1" x14ac:dyDescent="0.3">
      <c r="A25" s="56" t="s">
        <v>459</v>
      </c>
      <c r="B25" s="57" t="s">
        <v>462</v>
      </c>
      <c r="C25" s="55" t="s">
        <v>120</v>
      </c>
      <c r="D25" s="58">
        <v>4</v>
      </c>
      <c r="E25" s="59" t="s">
        <v>2497</v>
      </c>
      <c r="F25" s="60" t="s">
        <v>453</v>
      </c>
      <c r="G25" s="61" t="s">
        <v>117</v>
      </c>
      <c r="H25" s="61" t="s">
        <v>117</v>
      </c>
      <c r="I25" s="62" t="s">
        <v>117</v>
      </c>
      <c r="J25" s="63" t="s">
        <v>1752</v>
      </c>
      <c r="K25" s="99" t="s">
        <v>1751</v>
      </c>
      <c r="L25" s="130">
        <v>493696526</v>
      </c>
      <c r="M25" s="109" t="s">
        <v>564</v>
      </c>
      <c r="N25" s="12" t="s">
        <v>1017</v>
      </c>
      <c r="O25" s="100" t="s">
        <v>1018</v>
      </c>
      <c r="P25" s="131">
        <v>602564997</v>
      </c>
      <c r="Q25" s="67"/>
      <c r="R25" s="68"/>
      <c r="S25" s="99"/>
      <c r="T25" s="65"/>
      <c r="U25" s="170">
        <v>400000</v>
      </c>
      <c r="V25" s="48">
        <f t="shared" si="2"/>
        <v>1746.7248908296942</v>
      </c>
      <c r="W25" s="171">
        <f t="shared" si="3"/>
        <v>419.29692501262349</v>
      </c>
      <c r="X25" s="69">
        <v>0</v>
      </c>
      <c r="Y25" s="48">
        <f t="shared" si="4"/>
        <v>0</v>
      </c>
      <c r="Z25" s="137">
        <f t="shared" si="5"/>
        <v>0</v>
      </c>
      <c r="AA25" s="69">
        <v>0</v>
      </c>
      <c r="AB25" s="48">
        <f t="shared" si="6"/>
        <v>0</v>
      </c>
      <c r="AC25" s="137">
        <f t="shared" si="7"/>
        <v>0</v>
      </c>
      <c r="AD25" s="70">
        <f t="shared" si="8"/>
        <v>400000</v>
      </c>
      <c r="AE25" s="71">
        <f t="shared" si="9"/>
        <v>1746.7248908296942</v>
      </c>
      <c r="AF25" s="193">
        <f t="shared" si="10"/>
        <v>419.29692501262349</v>
      </c>
      <c r="AG25" s="185">
        <f t="shared" si="11"/>
        <v>2.7201632097925872E-2</v>
      </c>
      <c r="AH25" s="180">
        <f t="shared" si="12"/>
        <v>0.34782608695652173</v>
      </c>
      <c r="AI25" s="189">
        <v>229</v>
      </c>
      <c r="AJ25" s="125">
        <v>953.97789999999998</v>
      </c>
      <c r="AK25" s="149">
        <v>149</v>
      </c>
      <c r="AL25" s="221">
        <v>71</v>
      </c>
      <c r="AM25" s="216">
        <v>93.506493506493499</v>
      </c>
      <c r="AN25" s="213">
        <v>40.939597315436238</v>
      </c>
      <c r="AO25" s="127">
        <v>2.9409999999999998</v>
      </c>
      <c r="AP25" s="133">
        <v>0.23</v>
      </c>
      <c r="AQ25" s="224">
        <f t="shared" si="13"/>
        <v>1.0361990950226245</v>
      </c>
      <c r="AR25" s="158">
        <v>221</v>
      </c>
      <c r="AS25" s="229">
        <f t="shared" si="14"/>
        <v>0.40892857142857142</v>
      </c>
      <c r="AT25" s="230">
        <v>560</v>
      </c>
      <c r="AU25" s="203">
        <v>13.537117903930133</v>
      </c>
      <c r="AV25" s="204">
        <v>66.375545851528386</v>
      </c>
      <c r="AW25" s="205">
        <v>20.087336244541483</v>
      </c>
      <c r="AX25" s="123">
        <v>4.8611000000000004</v>
      </c>
      <c r="AY25" s="281">
        <v>13.48314606741573</v>
      </c>
      <c r="AZ25" s="282">
        <v>23.595505617977526</v>
      </c>
      <c r="BA25" s="283">
        <f t="shared" si="15"/>
        <v>62.921348314606746</v>
      </c>
      <c r="BB25" s="234">
        <v>88.095238095238102</v>
      </c>
      <c r="BC25" s="20">
        <v>2011</v>
      </c>
      <c r="BD25" s="263" t="s">
        <v>556</v>
      </c>
      <c r="BE25" s="261" t="s">
        <v>556</v>
      </c>
      <c r="BF25" s="260" t="s">
        <v>557</v>
      </c>
      <c r="BG25" s="256">
        <v>30.392156862745097</v>
      </c>
      <c r="BH25" s="254" t="s">
        <v>557</v>
      </c>
      <c r="BI25" s="249">
        <v>0</v>
      </c>
      <c r="BJ25" s="309" t="s">
        <v>557</v>
      </c>
      <c r="BK25" s="307" t="s">
        <v>557</v>
      </c>
      <c r="BL25" s="319" t="s">
        <v>1728</v>
      </c>
      <c r="BM25" s="320" t="s">
        <v>556</v>
      </c>
      <c r="BN25" s="321" t="s">
        <v>557</v>
      </c>
      <c r="BO25" s="145" t="s">
        <v>557</v>
      </c>
      <c r="BP25" s="14" t="s">
        <v>556</v>
      </c>
      <c r="BQ25" s="14" t="s">
        <v>557</v>
      </c>
    </row>
    <row r="26" spans="1:70" s="56" customFormat="1" ht="13.95" customHeight="1" x14ac:dyDescent="0.3">
      <c r="A26" s="56" t="s">
        <v>459</v>
      </c>
      <c r="B26" s="57" t="s">
        <v>462</v>
      </c>
      <c r="C26" s="55" t="s">
        <v>15</v>
      </c>
      <c r="D26" s="58">
        <v>5</v>
      </c>
      <c r="E26" s="59" t="s">
        <v>465</v>
      </c>
      <c r="F26" s="60" t="s">
        <v>452</v>
      </c>
      <c r="G26" s="61" t="s">
        <v>11</v>
      </c>
      <c r="H26" s="61" t="s">
        <v>16</v>
      </c>
      <c r="I26" s="62" t="s">
        <v>16</v>
      </c>
      <c r="J26" s="63" t="s">
        <v>1753</v>
      </c>
      <c r="K26" s="99" t="s">
        <v>804</v>
      </c>
      <c r="L26" s="130">
        <v>495441126</v>
      </c>
      <c r="M26" s="109" t="s">
        <v>537</v>
      </c>
      <c r="N26" s="12" t="s">
        <v>803</v>
      </c>
      <c r="O26" s="100"/>
      <c r="P26" s="131">
        <v>724140659</v>
      </c>
      <c r="Q26" s="67"/>
      <c r="R26" s="68"/>
      <c r="S26" s="99"/>
      <c r="T26" s="65"/>
      <c r="U26" s="170">
        <f>570000+66500+40000+200000</f>
        <v>876500</v>
      </c>
      <c r="V26" s="48">
        <f t="shared" si="2"/>
        <v>1579.2792792792793</v>
      </c>
      <c r="W26" s="171">
        <f t="shared" si="3"/>
        <v>753.21860234251415</v>
      </c>
      <c r="X26" s="69">
        <v>131000</v>
      </c>
      <c r="Y26" s="48">
        <f t="shared" si="4"/>
        <v>236.03603603603602</v>
      </c>
      <c r="Z26" s="137">
        <f t="shared" si="5"/>
        <v>112.57460000783725</v>
      </c>
      <c r="AA26" s="69">
        <v>0</v>
      </c>
      <c r="AB26" s="48">
        <f t="shared" si="6"/>
        <v>0</v>
      </c>
      <c r="AC26" s="137">
        <f t="shared" si="7"/>
        <v>0</v>
      </c>
      <c r="AD26" s="70">
        <f t="shared" si="8"/>
        <v>1007500</v>
      </c>
      <c r="AE26" s="71">
        <f t="shared" si="9"/>
        <v>1815.3153153153153</v>
      </c>
      <c r="AF26" s="193">
        <f t="shared" si="10"/>
        <v>865.79320235035141</v>
      </c>
      <c r="AG26" s="185">
        <f t="shared" si="11"/>
        <v>2.5241137417011148E-2</v>
      </c>
      <c r="AH26" s="180">
        <f t="shared" si="12"/>
        <v>9.3287037037037043E-2</v>
      </c>
      <c r="AI26" s="189">
        <v>555</v>
      </c>
      <c r="AJ26" s="125">
        <v>1163.6728000000001</v>
      </c>
      <c r="AK26" s="149">
        <v>249</v>
      </c>
      <c r="AL26" s="221">
        <v>147</v>
      </c>
      <c r="AM26" s="216">
        <v>92.737430167597765</v>
      </c>
      <c r="AN26" s="213">
        <v>11.522633744855968</v>
      </c>
      <c r="AO26" s="127">
        <v>7.9829999999999997</v>
      </c>
      <c r="AP26" s="133">
        <v>2.16</v>
      </c>
      <c r="AQ26" s="224">
        <f t="shared" si="13"/>
        <v>1.0946745562130178</v>
      </c>
      <c r="AR26" s="158">
        <v>507</v>
      </c>
      <c r="AS26" s="229">
        <f t="shared" si="14"/>
        <v>0.64610011641443543</v>
      </c>
      <c r="AT26" s="230">
        <v>859</v>
      </c>
      <c r="AU26" s="203">
        <v>13.333333333333334</v>
      </c>
      <c r="AV26" s="204">
        <v>67.387387387387392</v>
      </c>
      <c r="AW26" s="205">
        <v>19.27927927927928</v>
      </c>
      <c r="AX26" s="123">
        <v>3.4666999999999999</v>
      </c>
      <c r="AY26" s="281">
        <v>9.7777777777777786</v>
      </c>
      <c r="AZ26" s="282">
        <v>28.444444444444443</v>
      </c>
      <c r="BA26" s="283">
        <f t="shared" si="15"/>
        <v>61.777777777777786</v>
      </c>
      <c r="BB26" s="234">
        <v>87.628865979381445</v>
      </c>
      <c r="BC26" s="20">
        <v>2005</v>
      </c>
      <c r="BD26" s="263" t="s">
        <v>556</v>
      </c>
      <c r="BE26" s="261" t="s">
        <v>556</v>
      </c>
      <c r="BF26" s="260" t="s">
        <v>557</v>
      </c>
      <c r="BG26" s="256">
        <v>15.53784860557769</v>
      </c>
      <c r="BH26" s="248" t="s">
        <v>556</v>
      </c>
      <c r="BI26" s="249">
        <v>64.43514644351464</v>
      </c>
      <c r="BJ26" s="308" t="s">
        <v>556</v>
      </c>
      <c r="BK26" s="307" t="s">
        <v>750</v>
      </c>
      <c r="BL26" s="319" t="s">
        <v>1728</v>
      </c>
      <c r="BM26" s="320" t="s">
        <v>556</v>
      </c>
      <c r="BN26" s="321" t="s">
        <v>1838</v>
      </c>
      <c r="BO26" s="145" t="s">
        <v>999</v>
      </c>
      <c r="BP26" s="14">
        <v>2</v>
      </c>
      <c r="BQ26" s="14" t="s">
        <v>557</v>
      </c>
    </row>
    <row r="27" spans="1:70" s="56" customFormat="1" ht="13.95" customHeight="1" x14ac:dyDescent="0.3">
      <c r="A27" s="56" t="s">
        <v>459</v>
      </c>
      <c r="B27" s="57" t="s">
        <v>462</v>
      </c>
      <c r="C27" s="55" t="s">
        <v>308</v>
      </c>
      <c r="D27" s="58">
        <v>2</v>
      </c>
      <c r="E27" s="59" t="s">
        <v>673</v>
      </c>
      <c r="F27" s="60" t="s">
        <v>455</v>
      </c>
      <c r="G27" s="61" t="s">
        <v>304</v>
      </c>
      <c r="H27" s="61" t="s">
        <v>304</v>
      </c>
      <c r="I27" s="62" t="s">
        <v>304</v>
      </c>
      <c r="J27" s="63" t="s">
        <v>1755</v>
      </c>
      <c r="K27" s="99" t="s">
        <v>1401</v>
      </c>
      <c r="L27" s="130">
        <v>494665586</v>
      </c>
      <c r="M27" s="109" t="s">
        <v>564</v>
      </c>
      <c r="N27" s="12" t="s">
        <v>1400</v>
      </c>
      <c r="O27" s="100" t="s">
        <v>1754</v>
      </c>
      <c r="P27" s="131">
        <v>737523690</v>
      </c>
      <c r="Q27" s="67"/>
      <c r="R27" s="68"/>
      <c r="S27" s="99"/>
      <c r="T27" s="65"/>
      <c r="U27" s="170">
        <v>470000</v>
      </c>
      <c r="V27" s="48">
        <f t="shared" si="2"/>
        <v>2227.4881516587679</v>
      </c>
      <c r="W27" s="171">
        <f t="shared" si="3"/>
        <v>874.93184374015118</v>
      </c>
      <c r="X27" s="69">
        <v>122800</v>
      </c>
      <c r="Y27" s="48">
        <f t="shared" si="4"/>
        <v>581.99052132701422</v>
      </c>
      <c r="Z27" s="137">
        <f t="shared" si="5"/>
        <v>228.59921364104375</v>
      </c>
      <c r="AA27" s="69">
        <v>0</v>
      </c>
      <c r="AB27" s="48">
        <f t="shared" si="6"/>
        <v>0</v>
      </c>
      <c r="AC27" s="137">
        <f t="shared" si="7"/>
        <v>0</v>
      </c>
      <c r="AD27" s="70">
        <f t="shared" si="8"/>
        <v>592800</v>
      </c>
      <c r="AE27" s="71">
        <f t="shared" si="9"/>
        <v>2809.4786729857819</v>
      </c>
      <c r="AF27" s="193">
        <f t="shared" si="10"/>
        <v>1103.5310573811948</v>
      </c>
      <c r="AG27" s="185">
        <f t="shared" si="11"/>
        <v>7.2029161603888212E-2</v>
      </c>
      <c r="AH27" s="180">
        <f t="shared" si="12"/>
        <v>5.1547826086956521</v>
      </c>
      <c r="AI27" s="189">
        <v>211</v>
      </c>
      <c r="AJ27" s="125">
        <v>537.18470000000002</v>
      </c>
      <c r="AK27" s="149">
        <v>112</v>
      </c>
      <c r="AL27" s="221">
        <v>63</v>
      </c>
      <c r="AM27" s="216">
        <v>79.545454545454547</v>
      </c>
      <c r="AN27" s="213">
        <v>23.846153846153847</v>
      </c>
      <c r="AO27" s="127">
        <v>1.6459999999999999</v>
      </c>
      <c r="AP27" s="133">
        <v>2.3E-2</v>
      </c>
      <c r="AQ27" s="224">
        <f t="shared" si="13"/>
        <v>1.0144230769230769</v>
      </c>
      <c r="AR27" s="158">
        <v>208</v>
      </c>
      <c r="AS27" s="229">
        <f t="shared" si="14"/>
        <v>0.47737556561085975</v>
      </c>
      <c r="AT27" s="230">
        <v>442</v>
      </c>
      <c r="AU27" s="203">
        <v>10.42654028436019</v>
      </c>
      <c r="AV27" s="204">
        <v>59.241706161137444</v>
      </c>
      <c r="AW27" s="205">
        <v>30.33175355450237</v>
      </c>
      <c r="AX27" s="123">
        <v>1.6529</v>
      </c>
      <c r="AY27" s="281">
        <v>10</v>
      </c>
      <c r="AZ27" s="282">
        <v>42.5</v>
      </c>
      <c r="BA27" s="283">
        <f t="shared" si="15"/>
        <v>47.5</v>
      </c>
      <c r="BB27" s="234">
        <v>76.19047619047619</v>
      </c>
      <c r="BC27" s="20">
        <v>2004</v>
      </c>
      <c r="BD27" s="264" t="s">
        <v>557</v>
      </c>
      <c r="BE27" s="262" t="s">
        <v>557</v>
      </c>
      <c r="BF27" s="260" t="s">
        <v>557</v>
      </c>
      <c r="BG27" s="256">
        <v>0</v>
      </c>
      <c r="BH27" s="254" t="s">
        <v>557</v>
      </c>
      <c r="BI27" s="249">
        <v>0</v>
      </c>
      <c r="BJ27" s="309" t="s">
        <v>557</v>
      </c>
      <c r="BK27" s="307" t="s">
        <v>557</v>
      </c>
      <c r="BL27" s="319" t="s">
        <v>1728</v>
      </c>
      <c r="BM27" s="320" t="s">
        <v>556</v>
      </c>
      <c r="BN27" s="321" t="s">
        <v>557</v>
      </c>
      <c r="BO27" s="145" t="s">
        <v>557</v>
      </c>
      <c r="BP27" s="14" t="s">
        <v>556</v>
      </c>
      <c r="BQ27" s="14" t="s">
        <v>557</v>
      </c>
      <c r="BR27" s="72"/>
    </row>
    <row r="28" spans="1:70" s="72" customFormat="1" ht="13.95" customHeight="1" x14ac:dyDescent="0.3">
      <c r="A28" s="56" t="s">
        <v>459</v>
      </c>
      <c r="B28" s="57" t="s">
        <v>462</v>
      </c>
      <c r="C28" s="55" t="s">
        <v>228</v>
      </c>
      <c r="D28" s="58">
        <v>1</v>
      </c>
      <c r="E28" s="59"/>
      <c r="F28" s="60" t="s">
        <v>454</v>
      </c>
      <c r="G28" s="61" t="s">
        <v>526</v>
      </c>
      <c r="H28" s="61" t="s">
        <v>526</v>
      </c>
      <c r="I28" s="62" t="s">
        <v>526</v>
      </c>
      <c r="J28" s="63" t="s">
        <v>1757</v>
      </c>
      <c r="K28" s="99" t="s">
        <v>1756</v>
      </c>
      <c r="L28" s="130">
        <v>491475321</v>
      </c>
      <c r="M28" s="109" t="s">
        <v>564</v>
      </c>
      <c r="N28" s="12" t="s">
        <v>1251</v>
      </c>
      <c r="O28" s="100" t="s">
        <v>1252</v>
      </c>
      <c r="P28" s="131">
        <v>602275860</v>
      </c>
      <c r="Q28" s="67"/>
      <c r="R28" s="68"/>
      <c r="S28" s="99"/>
      <c r="T28" s="65"/>
      <c r="U28" s="170">
        <v>0</v>
      </c>
      <c r="V28" s="48">
        <f t="shared" si="2"/>
        <v>0</v>
      </c>
      <c r="W28" s="171">
        <f t="shared" si="3"/>
        <v>0</v>
      </c>
      <c r="X28" s="69">
        <v>253030</v>
      </c>
      <c r="Y28" s="48">
        <f t="shared" si="4"/>
        <v>251.2711022840119</v>
      </c>
      <c r="Z28" s="137">
        <f t="shared" si="5"/>
        <v>179.0976741651092</v>
      </c>
      <c r="AA28" s="69">
        <v>0</v>
      </c>
      <c r="AB28" s="48">
        <f t="shared" si="6"/>
        <v>0</v>
      </c>
      <c r="AC28" s="137">
        <f t="shared" si="7"/>
        <v>0</v>
      </c>
      <c r="AD28" s="70">
        <f t="shared" si="8"/>
        <v>253030</v>
      </c>
      <c r="AE28" s="71">
        <f t="shared" si="9"/>
        <v>251.2711022840119</v>
      </c>
      <c r="AF28" s="193">
        <f t="shared" si="10"/>
        <v>179.0976741651092</v>
      </c>
      <c r="AG28" s="185">
        <f t="shared" si="11"/>
        <v>3.7594532352722677E-3</v>
      </c>
      <c r="AH28" s="180">
        <f t="shared" si="12"/>
        <v>6.3655345911949685E-2</v>
      </c>
      <c r="AI28" s="189">
        <v>1007</v>
      </c>
      <c r="AJ28" s="125">
        <v>1412.8045</v>
      </c>
      <c r="AK28" s="149">
        <v>383</v>
      </c>
      <c r="AL28" s="221">
        <v>280</v>
      </c>
      <c r="AM28" s="216">
        <v>90.109890109890117</v>
      </c>
      <c r="AN28" s="213">
        <v>0.65359477124183007</v>
      </c>
      <c r="AO28" s="127">
        <v>13.461</v>
      </c>
      <c r="AP28" s="133">
        <v>0.79500000000000004</v>
      </c>
      <c r="AQ28" s="224">
        <f t="shared" si="13"/>
        <v>1.1340090090090089</v>
      </c>
      <c r="AR28" s="158">
        <v>888</v>
      </c>
      <c r="AS28" s="229">
        <f t="shared" si="14"/>
        <v>0.72918175235336713</v>
      </c>
      <c r="AT28" s="230">
        <v>1381</v>
      </c>
      <c r="AU28" s="203">
        <v>17.576961271102284</v>
      </c>
      <c r="AV28" s="204">
        <v>64.74677259185701</v>
      </c>
      <c r="AW28" s="205">
        <v>17.676266137040713</v>
      </c>
      <c r="AX28" s="123">
        <v>3.0211000000000001</v>
      </c>
      <c r="AY28" s="281">
        <v>11.650485436893204</v>
      </c>
      <c r="AZ28" s="282">
        <v>41.262135922330096</v>
      </c>
      <c r="BA28" s="283">
        <f t="shared" si="15"/>
        <v>47.087378640776699</v>
      </c>
      <c r="BB28" s="234">
        <v>73.979591836734699</v>
      </c>
      <c r="BC28" s="20">
        <v>2001</v>
      </c>
      <c r="BD28" s="263" t="s">
        <v>556</v>
      </c>
      <c r="BE28" s="261" t="s">
        <v>556</v>
      </c>
      <c r="BF28" s="259" t="s">
        <v>556</v>
      </c>
      <c r="BG28" s="257" t="s">
        <v>1686</v>
      </c>
      <c r="BH28" s="248" t="s">
        <v>556</v>
      </c>
      <c r="BI28" s="249">
        <v>5.6983240223463687</v>
      </c>
      <c r="BJ28" s="308" t="s">
        <v>556</v>
      </c>
      <c r="BK28" s="307" t="s">
        <v>750</v>
      </c>
      <c r="BL28" s="319" t="s">
        <v>1728</v>
      </c>
      <c r="BM28" s="320" t="s">
        <v>556</v>
      </c>
      <c r="BN28" s="321" t="s">
        <v>1760</v>
      </c>
      <c r="BO28" s="145" t="s">
        <v>556</v>
      </c>
      <c r="BP28" s="14">
        <v>2</v>
      </c>
      <c r="BQ28" s="14" t="s">
        <v>556</v>
      </c>
    </row>
    <row r="29" spans="1:70" s="72" customFormat="1" ht="13.95" customHeight="1" x14ac:dyDescent="0.3">
      <c r="A29" s="56" t="s">
        <v>459</v>
      </c>
      <c r="B29" s="57" t="s">
        <v>462</v>
      </c>
      <c r="C29" s="55" t="s">
        <v>309</v>
      </c>
      <c r="D29" s="58">
        <v>3</v>
      </c>
      <c r="E29" s="59" t="s">
        <v>674</v>
      </c>
      <c r="F29" s="60" t="s">
        <v>455</v>
      </c>
      <c r="G29" s="61" t="s">
        <v>529</v>
      </c>
      <c r="H29" s="61" t="s">
        <v>530</v>
      </c>
      <c r="I29" s="62" t="s">
        <v>530</v>
      </c>
      <c r="J29" s="63" t="s">
        <v>1761</v>
      </c>
      <c r="K29" s="99" t="s">
        <v>2507</v>
      </c>
      <c r="L29" s="130">
        <v>494627134</v>
      </c>
      <c r="M29" s="109" t="s">
        <v>564</v>
      </c>
      <c r="N29" s="12" t="s">
        <v>1402</v>
      </c>
      <c r="O29" s="100" t="s">
        <v>1403</v>
      </c>
      <c r="P29" s="131">
        <v>734611442</v>
      </c>
      <c r="Q29" s="67"/>
      <c r="R29" s="68"/>
      <c r="S29" s="99"/>
      <c r="T29" s="65"/>
      <c r="U29" s="170">
        <f>48000+28000+328000</f>
        <v>404000</v>
      </c>
      <c r="V29" s="48">
        <f t="shared" si="2"/>
        <v>755.14018691588785</v>
      </c>
      <c r="W29" s="171">
        <f t="shared" si="3"/>
        <v>377.35933650514437</v>
      </c>
      <c r="X29" s="69">
        <v>139000</v>
      </c>
      <c r="Y29" s="48">
        <f t="shared" si="4"/>
        <v>259.81308411214951</v>
      </c>
      <c r="Z29" s="137">
        <f t="shared" si="5"/>
        <v>129.83402914409672</v>
      </c>
      <c r="AA29" s="69">
        <v>0</v>
      </c>
      <c r="AB29" s="48">
        <f t="shared" si="6"/>
        <v>0</v>
      </c>
      <c r="AC29" s="137">
        <f t="shared" si="7"/>
        <v>0</v>
      </c>
      <c r="AD29" s="70">
        <f t="shared" si="8"/>
        <v>543000</v>
      </c>
      <c r="AE29" s="71">
        <f t="shared" si="9"/>
        <v>1014.9532710280374</v>
      </c>
      <c r="AF29" s="193">
        <f t="shared" si="10"/>
        <v>507.19336564924112</v>
      </c>
      <c r="AG29" s="185">
        <f t="shared" si="11"/>
        <v>1.3710390102259816E-2</v>
      </c>
      <c r="AH29" s="180">
        <f t="shared" si="12"/>
        <v>2.8609062170706009E-2</v>
      </c>
      <c r="AI29" s="189">
        <v>535</v>
      </c>
      <c r="AJ29" s="125">
        <v>1070.5976000000001</v>
      </c>
      <c r="AK29" s="149">
        <v>254</v>
      </c>
      <c r="AL29" s="221">
        <v>168</v>
      </c>
      <c r="AM29" s="216">
        <v>89.573459715639814</v>
      </c>
      <c r="AN29" s="213">
        <v>8.9219330855018573</v>
      </c>
      <c r="AO29" s="127">
        <v>7.9210000000000003</v>
      </c>
      <c r="AP29" s="133">
        <v>3.7959999999999998</v>
      </c>
      <c r="AQ29" s="224">
        <f t="shared" si="13"/>
        <v>0.94690265486725667</v>
      </c>
      <c r="AR29" s="158">
        <v>565</v>
      </c>
      <c r="AS29" s="229">
        <f t="shared" si="14"/>
        <v>0.56613756613756616</v>
      </c>
      <c r="AT29" s="230">
        <v>945</v>
      </c>
      <c r="AU29" s="203">
        <v>13.644859813084112</v>
      </c>
      <c r="AV29" s="204">
        <v>65.981308411214954</v>
      </c>
      <c r="AW29" s="205">
        <v>20.373831775700936</v>
      </c>
      <c r="AX29" s="123">
        <v>2.2534999999999998</v>
      </c>
      <c r="AY29" s="281">
        <v>14.102564102564102</v>
      </c>
      <c r="AZ29" s="282">
        <v>27.777777777777779</v>
      </c>
      <c r="BA29" s="283">
        <f t="shared" si="15"/>
        <v>58.119658119658119</v>
      </c>
      <c r="BB29" s="234">
        <v>72.807017543859658</v>
      </c>
      <c r="BC29" s="20">
        <v>2015</v>
      </c>
      <c r="BD29" s="263" t="s">
        <v>556</v>
      </c>
      <c r="BE29" s="262" t="s">
        <v>557</v>
      </c>
      <c r="BF29" s="260" t="s">
        <v>557</v>
      </c>
      <c r="BG29" s="256">
        <v>0</v>
      </c>
      <c r="BH29" s="248" t="s">
        <v>556</v>
      </c>
      <c r="BI29" s="249">
        <v>36.511156186612574</v>
      </c>
      <c r="BJ29" s="308" t="s">
        <v>556</v>
      </c>
      <c r="BK29" s="307" t="s">
        <v>750</v>
      </c>
      <c r="BL29" s="319" t="s">
        <v>1728</v>
      </c>
      <c r="BM29" s="320" t="s">
        <v>556</v>
      </c>
      <c r="BN29" s="321" t="s">
        <v>1803</v>
      </c>
      <c r="BO29" s="145" t="s">
        <v>556</v>
      </c>
      <c r="BP29" s="14" t="s">
        <v>557</v>
      </c>
      <c r="BQ29" s="14" t="s">
        <v>556</v>
      </c>
      <c r="BR29" s="56"/>
    </row>
    <row r="30" spans="1:70" s="72" customFormat="1" ht="13.95" customHeight="1" x14ac:dyDescent="0.3">
      <c r="A30" s="56" t="s">
        <v>459</v>
      </c>
      <c r="B30" s="57" t="s">
        <v>462</v>
      </c>
      <c r="C30" s="55" t="s">
        <v>121</v>
      </c>
      <c r="D30" s="58">
        <v>3</v>
      </c>
      <c r="E30" s="59" t="s">
        <v>501</v>
      </c>
      <c r="F30" s="60" t="s">
        <v>453</v>
      </c>
      <c r="G30" s="61" t="s">
        <v>117</v>
      </c>
      <c r="H30" s="61" t="s">
        <v>117</v>
      </c>
      <c r="I30" s="62" t="s">
        <v>122</v>
      </c>
      <c r="J30" s="63" t="s">
        <v>1762</v>
      </c>
      <c r="K30" s="99" t="s">
        <v>1020</v>
      </c>
      <c r="L30" s="130">
        <v>493693578</v>
      </c>
      <c r="M30" s="109" t="s">
        <v>564</v>
      </c>
      <c r="N30" s="12" t="s">
        <v>1019</v>
      </c>
      <c r="O30" s="100"/>
      <c r="P30" s="131">
        <v>723066646</v>
      </c>
      <c r="Q30" s="67"/>
      <c r="R30" s="68"/>
      <c r="S30" s="99"/>
      <c r="T30" s="65"/>
      <c r="U30" s="170">
        <f>570000+400000</f>
        <v>970000</v>
      </c>
      <c r="V30" s="48">
        <f t="shared" si="2"/>
        <v>9326.9230769230762</v>
      </c>
      <c r="W30" s="171">
        <f t="shared" si="3"/>
        <v>1520.1443416231348</v>
      </c>
      <c r="X30" s="69">
        <v>79500</v>
      </c>
      <c r="Y30" s="48">
        <f t="shared" si="4"/>
        <v>764.42307692307691</v>
      </c>
      <c r="Z30" s="137">
        <f t="shared" si="5"/>
        <v>124.58914964849404</v>
      </c>
      <c r="AA30" s="69">
        <v>0</v>
      </c>
      <c r="AB30" s="48">
        <f t="shared" si="6"/>
        <v>0</v>
      </c>
      <c r="AC30" s="137">
        <f t="shared" si="7"/>
        <v>0</v>
      </c>
      <c r="AD30" s="70">
        <f t="shared" si="8"/>
        <v>1049500</v>
      </c>
      <c r="AE30" s="71">
        <f t="shared" si="9"/>
        <v>10091.346153846154</v>
      </c>
      <c r="AF30" s="193">
        <f t="shared" si="10"/>
        <v>1644.733491271629</v>
      </c>
      <c r="AG30" s="185">
        <f t="shared" si="11"/>
        <v>8.5255889520714861E-2</v>
      </c>
      <c r="AH30" s="180">
        <f t="shared" si="12"/>
        <v>0.11739373601789709</v>
      </c>
      <c r="AI30" s="189">
        <v>104</v>
      </c>
      <c r="AJ30" s="125">
        <v>638.09730000000002</v>
      </c>
      <c r="AK30" s="149">
        <v>82</v>
      </c>
      <c r="AL30" s="221">
        <v>26</v>
      </c>
      <c r="AM30" s="216">
        <v>100</v>
      </c>
      <c r="AN30" s="213">
        <v>2.4096385542168677</v>
      </c>
      <c r="AO30" s="127">
        <v>2.4620000000000002</v>
      </c>
      <c r="AP30" s="133">
        <v>1.788</v>
      </c>
      <c r="AQ30" s="224">
        <f t="shared" si="13"/>
        <v>1.0721649484536082</v>
      </c>
      <c r="AR30" s="158">
        <v>97</v>
      </c>
      <c r="AS30" s="229">
        <f t="shared" si="14"/>
        <v>0.35494880546075086</v>
      </c>
      <c r="AT30" s="230">
        <v>293</v>
      </c>
      <c r="AU30" s="203">
        <v>16.346153846153847</v>
      </c>
      <c r="AV30" s="204">
        <v>68.269230769230774</v>
      </c>
      <c r="AW30" s="205">
        <v>15.384615384615385</v>
      </c>
      <c r="AX30" s="123">
        <v>9.5890000000000004</v>
      </c>
      <c r="AY30" s="281">
        <v>24.137931034482758</v>
      </c>
      <c r="AZ30" s="282">
        <v>37.931034482758619</v>
      </c>
      <c r="BA30" s="283">
        <f t="shared" si="15"/>
        <v>37.931034482758619</v>
      </c>
      <c r="BB30" s="234">
        <v>88.235294117647058</v>
      </c>
      <c r="BC30" s="20">
        <v>2006</v>
      </c>
      <c r="BD30" s="263" t="s">
        <v>556</v>
      </c>
      <c r="BE30" s="262" t="s">
        <v>557</v>
      </c>
      <c r="BF30" s="260" t="s">
        <v>557</v>
      </c>
      <c r="BG30" s="256">
        <v>0</v>
      </c>
      <c r="BH30" s="254" t="s">
        <v>557</v>
      </c>
      <c r="BI30" s="249">
        <v>0</v>
      </c>
      <c r="BJ30" s="309" t="s">
        <v>557</v>
      </c>
      <c r="BK30" s="307" t="s">
        <v>557</v>
      </c>
      <c r="BL30" s="319" t="s">
        <v>557</v>
      </c>
      <c r="BM30" s="320" t="s">
        <v>557</v>
      </c>
      <c r="BN30" s="321" t="s">
        <v>557</v>
      </c>
      <c r="BO30" s="145" t="s">
        <v>557</v>
      </c>
      <c r="BP30" s="14" t="s">
        <v>557</v>
      </c>
      <c r="BQ30" s="14" t="s">
        <v>557</v>
      </c>
    </row>
    <row r="31" spans="1:70" s="72" customFormat="1" ht="13.95" customHeight="1" x14ac:dyDescent="0.3">
      <c r="A31" s="56" t="s">
        <v>459</v>
      </c>
      <c r="B31" s="77" t="s">
        <v>464</v>
      </c>
      <c r="C31" s="74" t="s">
        <v>310</v>
      </c>
      <c r="D31" s="58">
        <v>2</v>
      </c>
      <c r="E31" s="59" t="s">
        <v>675</v>
      </c>
      <c r="F31" s="60" t="s">
        <v>455</v>
      </c>
      <c r="G31" s="75" t="s">
        <v>529</v>
      </c>
      <c r="H31" s="75" t="s">
        <v>530</v>
      </c>
      <c r="I31" s="76" t="s">
        <v>530</v>
      </c>
      <c r="J31" s="63" t="s">
        <v>1764</v>
      </c>
      <c r="K31" s="99" t="s">
        <v>1763</v>
      </c>
      <c r="L31" s="130">
        <v>494381303</v>
      </c>
      <c r="M31" s="109" t="s">
        <v>564</v>
      </c>
      <c r="N31" s="12" t="s">
        <v>775</v>
      </c>
      <c r="O31" s="100" t="s">
        <v>1240</v>
      </c>
      <c r="P31" s="131">
        <v>725086522</v>
      </c>
      <c r="Q31" s="67" t="s">
        <v>1238</v>
      </c>
      <c r="R31" s="68" t="s">
        <v>1237</v>
      </c>
      <c r="S31" s="99" t="s">
        <v>1239</v>
      </c>
      <c r="T31" s="131">
        <v>725082448</v>
      </c>
      <c r="U31" s="172">
        <v>0</v>
      </c>
      <c r="V31" s="135">
        <f t="shared" si="2"/>
        <v>0</v>
      </c>
      <c r="W31" s="173">
        <f t="shared" si="3"/>
        <v>0</v>
      </c>
      <c r="X31" s="69">
        <v>258929</v>
      </c>
      <c r="Y31" s="48">
        <f t="shared" si="4"/>
        <v>122.367202268431</v>
      </c>
      <c r="Z31" s="137">
        <f t="shared" si="5"/>
        <v>185.15272888774857</v>
      </c>
      <c r="AA31" s="69">
        <v>4000000</v>
      </c>
      <c r="AB31" s="48">
        <f t="shared" si="6"/>
        <v>1890.359168241966</v>
      </c>
      <c r="AC31" s="137">
        <f t="shared" si="7"/>
        <v>2860.2856982068224</v>
      </c>
      <c r="AD31" s="70">
        <f t="shared" si="8"/>
        <v>4258929</v>
      </c>
      <c r="AE31" s="71">
        <f t="shared" si="9"/>
        <v>2012.7263705103969</v>
      </c>
      <c r="AF31" s="193">
        <f t="shared" si="10"/>
        <v>3045.4384270945711</v>
      </c>
      <c r="AG31" s="185">
        <f t="shared" si="11"/>
        <v>2.2936929125376992E-2</v>
      </c>
      <c r="AH31" s="180">
        <f t="shared" si="12"/>
        <v>6.3651606635779401E-2</v>
      </c>
      <c r="AI31" s="189">
        <v>2116</v>
      </c>
      <c r="AJ31" s="126">
        <v>1398.4617000000001</v>
      </c>
      <c r="AK31" s="150">
        <v>621</v>
      </c>
      <c r="AL31" s="221">
        <v>469</v>
      </c>
      <c r="AM31" s="216">
        <v>65.744400527009233</v>
      </c>
      <c r="AN31" s="213">
        <v>3.1746031746031744</v>
      </c>
      <c r="AO31" s="128">
        <v>37.136000000000003</v>
      </c>
      <c r="AP31" s="134">
        <v>13.382</v>
      </c>
      <c r="AQ31" s="224">
        <f t="shared" si="13"/>
        <v>0.96488828089375289</v>
      </c>
      <c r="AR31" s="158">
        <v>2193</v>
      </c>
      <c r="AS31" s="229">
        <f t="shared" si="14"/>
        <v>0.93628318584070791</v>
      </c>
      <c r="AT31" s="230">
        <v>2260</v>
      </c>
      <c r="AU31" s="203">
        <v>15.453686200378073</v>
      </c>
      <c r="AV31" s="204">
        <v>62.948960302457465</v>
      </c>
      <c r="AW31" s="205">
        <v>21.597353497164463</v>
      </c>
      <c r="AX31" s="123">
        <v>3.6791999999999998</v>
      </c>
      <c r="AY31" s="281">
        <v>3.5419126328217239</v>
      </c>
      <c r="AZ31" s="282">
        <v>40.850059031877208</v>
      </c>
      <c r="BA31" s="283">
        <f t="shared" si="15"/>
        <v>55.608028335301071</v>
      </c>
      <c r="BB31" s="234">
        <v>67.567567567567565</v>
      </c>
      <c r="BC31" s="20">
        <v>2012</v>
      </c>
      <c r="BD31" s="263" t="s">
        <v>556</v>
      </c>
      <c r="BE31" s="261" t="s">
        <v>556</v>
      </c>
      <c r="BF31" s="259" t="s">
        <v>556</v>
      </c>
      <c r="BG31" s="256">
        <v>81.068702290076331</v>
      </c>
      <c r="BH31" s="248" t="s">
        <v>556</v>
      </c>
      <c r="BI31" s="249">
        <v>32.148806218767348</v>
      </c>
      <c r="BJ31" s="308" t="s">
        <v>556</v>
      </c>
      <c r="BK31" s="307" t="s">
        <v>556</v>
      </c>
      <c r="BL31" s="319" t="s">
        <v>1728</v>
      </c>
      <c r="BM31" s="320" t="s">
        <v>556</v>
      </c>
      <c r="BN31" s="321" t="s">
        <v>1765</v>
      </c>
      <c r="BO31" s="145" t="s">
        <v>556</v>
      </c>
      <c r="BP31" s="14">
        <v>2</v>
      </c>
      <c r="BQ31" s="14" t="s">
        <v>556</v>
      </c>
      <c r="BR31" s="56"/>
    </row>
    <row r="32" spans="1:70" s="72" customFormat="1" ht="13.95" customHeight="1" x14ac:dyDescent="0.3">
      <c r="A32" s="56" t="s">
        <v>459</v>
      </c>
      <c r="B32" s="57" t="s">
        <v>462</v>
      </c>
      <c r="C32" s="55" t="s">
        <v>229</v>
      </c>
      <c r="D32" s="58">
        <v>1</v>
      </c>
      <c r="E32" s="59"/>
      <c r="F32" s="60" t="s">
        <v>454</v>
      </c>
      <c r="G32" s="61" t="s">
        <v>226</v>
      </c>
      <c r="H32" s="61" t="s">
        <v>226</v>
      </c>
      <c r="I32" s="62" t="s">
        <v>226</v>
      </c>
      <c r="J32" s="63" t="s">
        <v>1766</v>
      </c>
      <c r="K32" s="99" t="s">
        <v>1254</v>
      </c>
      <c r="L32" s="130">
        <v>491478170</v>
      </c>
      <c r="M32" s="109" t="s">
        <v>564</v>
      </c>
      <c r="N32" s="12" t="s">
        <v>1253</v>
      </c>
      <c r="O32" s="100"/>
      <c r="P32" s="131">
        <v>702286207</v>
      </c>
      <c r="Q32" s="67"/>
      <c r="R32" s="68"/>
      <c r="S32" s="99"/>
      <c r="T32" s="65"/>
      <c r="U32" s="170">
        <v>600000</v>
      </c>
      <c r="V32" s="48">
        <f t="shared" si="2"/>
        <v>3015.075376884422</v>
      </c>
      <c r="W32" s="171">
        <f t="shared" si="3"/>
        <v>1953.9448681429155</v>
      </c>
      <c r="X32" s="69">
        <v>33950</v>
      </c>
      <c r="Y32" s="48">
        <f t="shared" si="4"/>
        <v>170.60301507537687</v>
      </c>
      <c r="Z32" s="137">
        <f t="shared" si="5"/>
        <v>110.56071378908663</v>
      </c>
      <c r="AA32" s="69">
        <v>0</v>
      </c>
      <c r="AB32" s="48">
        <f t="shared" si="6"/>
        <v>0</v>
      </c>
      <c r="AC32" s="137">
        <f t="shared" si="7"/>
        <v>0</v>
      </c>
      <c r="AD32" s="70">
        <f t="shared" si="8"/>
        <v>633950</v>
      </c>
      <c r="AE32" s="71">
        <f t="shared" si="9"/>
        <v>3185.6783919597988</v>
      </c>
      <c r="AF32" s="193">
        <f t="shared" si="10"/>
        <v>2064.5055819320019</v>
      </c>
      <c r="AG32" s="185">
        <f t="shared" si="11"/>
        <v>9.4760837070254109E-2</v>
      </c>
      <c r="AH32" s="180">
        <f t="shared" si="12"/>
        <v>1.0565833333333334</v>
      </c>
      <c r="AI32" s="189">
        <v>199</v>
      </c>
      <c r="AJ32" s="125">
        <v>307.0711</v>
      </c>
      <c r="AK32" s="149">
        <v>140</v>
      </c>
      <c r="AL32" s="221">
        <v>77</v>
      </c>
      <c r="AM32" s="216">
        <v>98.80952380952381</v>
      </c>
      <c r="AN32" s="213">
        <v>0.73529411764705888</v>
      </c>
      <c r="AO32" s="127">
        <v>1.3380000000000001</v>
      </c>
      <c r="AP32" s="133">
        <v>0.12</v>
      </c>
      <c r="AQ32" s="224">
        <f t="shared" si="13"/>
        <v>0.88053097345132747</v>
      </c>
      <c r="AR32" s="158">
        <v>226</v>
      </c>
      <c r="AS32" s="229">
        <f t="shared" si="14"/>
        <v>0.35855855855855856</v>
      </c>
      <c r="AT32" s="230">
        <v>555</v>
      </c>
      <c r="AU32" s="203">
        <v>9.5477386934673358</v>
      </c>
      <c r="AV32" s="204">
        <v>71.356783919597987</v>
      </c>
      <c r="AW32" s="205">
        <v>19.095477386934672</v>
      </c>
      <c r="AX32" s="123">
        <v>2.0270000000000001</v>
      </c>
      <c r="AY32" s="281">
        <v>2.912621359223301</v>
      </c>
      <c r="AZ32" s="282">
        <v>53.398058252427184</v>
      </c>
      <c r="BA32" s="283">
        <f t="shared" si="15"/>
        <v>43.689320388349522</v>
      </c>
      <c r="BB32" s="234">
        <v>94.230769230769226</v>
      </c>
      <c r="BC32" s="20">
        <v>1999</v>
      </c>
      <c r="BD32" s="263" t="s">
        <v>556</v>
      </c>
      <c r="BE32" s="261" t="s">
        <v>556</v>
      </c>
      <c r="BF32" s="260" t="s">
        <v>557</v>
      </c>
      <c r="BG32" s="256">
        <v>19.473684210526315</v>
      </c>
      <c r="BH32" s="254" t="s">
        <v>557</v>
      </c>
      <c r="BI32" s="249">
        <v>0</v>
      </c>
      <c r="BJ32" s="309" t="s">
        <v>557</v>
      </c>
      <c r="BK32" s="307" t="s">
        <v>557</v>
      </c>
      <c r="BL32" s="319" t="s">
        <v>1728</v>
      </c>
      <c r="BM32" s="320" t="s">
        <v>556</v>
      </c>
      <c r="BN32" s="321" t="s">
        <v>1767</v>
      </c>
      <c r="BO32" s="145" t="s">
        <v>557</v>
      </c>
      <c r="BP32" s="14" t="s">
        <v>556</v>
      </c>
      <c r="BQ32" s="14" t="s">
        <v>557</v>
      </c>
      <c r="BR32" s="56"/>
    </row>
    <row r="33" spans="1:70" s="72" customFormat="1" ht="13.95" customHeight="1" x14ac:dyDescent="0.3">
      <c r="A33" s="56" t="s">
        <v>459</v>
      </c>
      <c r="B33" s="57" t="s">
        <v>462</v>
      </c>
      <c r="C33" s="55" t="s">
        <v>311</v>
      </c>
      <c r="D33" s="58">
        <v>4</v>
      </c>
      <c r="E33" s="59" t="s">
        <v>676</v>
      </c>
      <c r="F33" s="60" t="s">
        <v>455</v>
      </c>
      <c r="G33" s="61" t="s">
        <v>529</v>
      </c>
      <c r="H33" s="61" t="s">
        <v>529</v>
      </c>
      <c r="I33" s="62" t="s">
        <v>529</v>
      </c>
      <c r="J33" s="63" t="s">
        <v>1758</v>
      </c>
      <c r="K33" s="99" t="s">
        <v>1405</v>
      </c>
      <c r="L33" s="130">
        <v>494547102</v>
      </c>
      <c r="M33" s="109" t="s">
        <v>537</v>
      </c>
      <c r="N33" s="12" t="s">
        <v>1404</v>
      </c>
      <c r="O33" s="100"/>
      <c r="P33" s="131">
        <v>734559876</v>
      </c>
      <c r="Q33" s="67"/>
      <c r="R33" s="68"/>
      <c r="S33" s="99"/>
      <c r="T33" s="112"/>
      <c r="U33" s="170">
        <f>806695+35515+721645</f>
        <v>1563855</v>
      </c>
      <c r="V33" s="48">
        <f t="shared" si="2"/>
        <v>4093.8612565445028</v>
      </c>
      <c r="W33" s="171">
        <f t="shared" si="3"/>
        <v>1909.5423084038032</v>
      </c>
      <c r="X33" s="69">
        <v>0</v>
      </c>
      <c r="Y33" s="48">
        <f t="shared" si="4"/>
        <v>0</v>
      </c>
      <c r="Z33" s="137">
        <f t="shared" si="5"/>
        <v>0</v>
      </c>
      <c r="AA33" s="69">
        <v>300000</v>
      </c>
      <c r="AB33" s="48">
        <f t="shared" si="6"/>
        <v>785.3403141361257</v>
      </c>
      <c r="AC33" s="137">
        <f t="shared" si="7"/>
        <v>366.31445531787853</v>
      </c>
      <c r="AD33" s="70">
        <f t="shared" si="8"/>
        <v>1863855</v>
      </c>
      <c r="AE33" s="71">
        <f t="shared" si="9"/>
        <v>4879.2015706806287</v>
      </c>
      <c r="AF33" s="193">
        <f t="shared" si="10"/>
        <v>2275.8567637216815</v>
      </c>
      <c r="AG33" s="185">
        <f t="shared" si="11"/>
        <v>8.9457883369330457E-2</v>
      </c>
      <c r="AH33" s="180">
        <f t="shared" si="12"/>
        <v>0.29282875098193245</v>
      </c>
      <c r="AI33" s="189">
        <v>382</v>
      </c>
      <c r="AJ33" s="125">
        <v>818.96849999999995</v>
      </c>
      <c r="AK33" s="149">
        <v>183</v>
      </c>
      <c r="AL33" s="221">
        <v>115</v>
      </c>
      <c r="AM33" s="216">
        <v>90.647482014388487</v>
      </c>
      <c r="AN33" s="213">
        <v>4.6242774566473992</v>
      </c>
      <c r="AO33" s="127">
        <v>4.1669999999999998</v>
      </c>
      <c r="AP33" s="133">
        <v>1.2729999999999999</v>
      </c>
      <c r="AQ33" s="224">
        <f t="shared" si="13"/>
        <v>0.92048192771084336</v>
      </c>
      <c r="AR33" s="158">
        <v>415</v>
      </c>
      <c r="AS33" s="229">
        <f t="shared" si="14"/>
        <v>0.66319444444444442</v>
      </c>
      <c r="AT33" s="230">
        <v>576</v>
      </c>
      <c r="AU33" s="203">
        <v>14.921465968586386</v>
      </c>
      <c r="AV33" s="204">
        <v>69.109947643979055</v>
      </c>
      <c r="AW33" s="205">
        <v>15.968586387434556</v>
      </c>
      <c r="AX33" s="123">
        <v>0.76629999999999998</v>
      </c>
      <c r="AY33" s="281">
        <v>8.791208791208792</v>
      </c>
      <c r="AZ33" s="282">
        <v>40.109890109890109</v>
      </c>
      <c r="BA33" s="283">
        <f t="shared" si="15"/>
        <v>51.098901098901102</v>
      </c>
      <c r="BB33" s="234">
        <v>79.220779220779221</v>
      </c>
      <c r="BC33" s="20">
        <v>2015</v>
      </c>
      <c r="BD33" s="263" t="s">
        <v>556</v>
      </c>
      <c r="BE33" s="261" t="s">
        <v>556</v>
      </c>
      <c r="BF33" s="260" t="s">
        <v>557</v>
      </c>
      <c r="BG33" s="256">
        <v>31.413612565445025</v>
      </c>
      <c r="BH33" s="248" t="s">
        <v>556</v>
      </c>
      <c r="BI33" s="249">
        <v>31.868131868131865</v>
      </c>
      <c r="BJ33" s="309" t="s">
        <v>557</v>
      </c>
      <c r="BK33" s="307" t="s">
        <v>557</v>
      </c>
      <c r="BL33" s="319" t="s">
        <v>1728</v>
      </c>
      <c r="BM33" s="320" t="s">
        <v>556</v>
      </c>
      <c r="BN33" s="321" t="s">
        <v>1768</v>
      </c>
      <c r="BO33" s="145" t="s">
        <v>557</v>
      </c>
      <c r="BP33" s="14" t="s">
        <v>556</v>
      </c>
      <c r="BQ33" s="14" t="s">
        <v>557</v>
      </c>
      <c r="BR33" s="56"/>
    </row>
    <row r="34" spans="1:70" s="56" customFormat="1" ht="13.95" customHeight="1" x14ac:dyDescent="0.3">
      <c r="A34" s="56" t="s">
        <v>459</v>
      </c>
      <c r="B34" s="57" t="s">
        <v>462</v>
      </c>
      <c r="C34" s="55" t="s">
        <v>311</v>
      </c>
      <c r="D34" s="58">
        <v>1</v>
      </c>
      <c r="E34" s="59"/>
      <c r="F34" s="60" t="s">
        <v>456</v>
      </c>
      <c r="G34" s="61" t="s">
        <v>531</v>
      </c>
      <c r="H34" s="61" t="s">
        <v>531</v>
      </c>
      <c r="I34" s="62" t="s">
        <v>386</v>
      </c>
      <c r="J34" s="63" t="s">
        <v>1759</v>
      </c>
      <c r="K34" s="99" t="s">
        <v>1545</v>
      </c>
      <c r="L34" s="130">
        <v>499691281</v>
      </c>
      <c r="M34" s="109" t="s">
        <v>564</v>
      </c>
      <c r="N34" s="12" t="s">
        <v>1544</v>
      </c>
      <c r="O34" s="100" t="s">
        <v>1769</v>
      </c>
      <c r="P34" s="131">
        <v>724180864</v>
      </c>
      <c r="Q34" s="82"/>
      <c r="R34" s="72"/>
      <c r="S34" s="115"/>
      <c r="T34" s="112"/>
      <c r="U34" s="170">
        <v>0</v>
      </c>
      <c r="V34" s="48">
        <f t="shared" si="2"/>
        <v>0</v>
      </c>
      <c r="W34" s="171">
        <f t="shared" si="3"/>
        <v>0</v>
      </c>
      <c r="X34" s="69">
        <v>0</v>
      </c>
      <c r="Y34" s="48">
        <f t="shared" si="4"/>
        <v>0</v>
      </c>
      <c r="Z34" s="137">
        <f t="shared" si="5"/>
        <v>0</v>
      </c>
      <c r="AA34" s="69">
        <v>0</v>
      </c>
      <c r="AB34" s="48">
        <f t="shared" si="6"/>
        <v>0</v>
      </c>
      <c r="AC34" s="137">
        <f t="shared" si="7"/>
        <v>0</v>
      </c>
      <c r="AD34" s="70">
        <f t="shared" si="8"/>
        <v>0</v>
      </c>
      <c r="AE34" s="71">
        <f t="shared" si="9"/>
        <v>0</v>
      </c>
      <c r="AF34" s="193">
        <f t="shared" si="10"/>
        <v>0</v>
      </c>
      <c r="AG34" s="185">
        <f t="shared" si="11"/>
        <v>0</v>
      </c>
      <c r="AH34" s="180">
        <f t="shared" si="12"/>
        <v>0</v>
      </c>
      <c r="AI34" s="189">
        <v>368</v>
      </c>
      <c r="AJ34" s="125">
        <v>974.92539999999997</v>
      </c>
      <c r="AK34" s="149">
        <v>201</v>
      </c>
      <c r="AL34" s="221">
        <v>113</v>
      </c>
      <c r="AM34" s="216">
        <v>74.342105263157904</v>
      </c>
      <c r="AN34" s="213">
        <v>14.485981308411217</v>
      </c>
      <c r="AO34" s="127">
        <v>4.5250000000000004</v>
      </c>
      <c r="AP34" s="133">
        <v>0.36</v>
      </c>
      <c r="AQ34" s="224">
        <f t="shared" si="13"/>
        <v>0.8382687927107062</v>
      </c>
      <c r="AR34" s="158">
        <v>439</v>
      </c>
      <c r="AS34" s="229">
        <f t="shared" si="14"/>
        <v>0.31160033869602033</v>
      </c>
      <c r="AT34" s="230">
        <v>1181</v>
      </c>
      <c r="AU34" s="203">
        <v>12.228260869565217</v>
      </c>
      <c r="AV34" s="204">
        <v>65.489130434782609</v>
      </c>
      <c r="AW34" s="205">
        <v>22.282608695652172</v>
      </c>
      <c r="AX34" s="123">
        <v>8.0972000000000008</v>
      </c>
      <c r="AY34" s="281">
        <v>2.8735632183908044</v>
      </c>
      <c r="AZ34" s="282">
        <v>55.747126436781613</v>
      </c>
      <c r="BA34" s="283">
        <f t="shared" si="15"/>
        <v>41.379310344827587</v>
      </c>
      <c r="BB34" s="234">
        <v>48.062015503875969</v>
      </c>
      <c r="BC34" s="20">
        <v>2014</v>
      </c>
      <c r="BD34" s="263" t="s">
        <v>556</v>
      </c>
      <c r="BE34" s="261" t="s">
        <v>556</v>
      </c>
      <c r="BF34" s="259" t="s">
        <v>556</v>
      </c>
      <c r="BG34" s="257" t="s">
        <v>1686</v>
      </c>
      <c r="BH34" s="254" t="s">
        <v>557</v>
      </c>
      <c r="BI34" s="249">
        <v>0</v>
      </c>
      <c r="BJ34" s="308" t="s">
        <v>556</v>
      </c>
      <c r="BK34" s="307" t="s">
        <v>557</v>
      </c>
      <c r="BL34" s="319" t="s">
        <v>1728</v>
      </c>
      <c r="BM34" s="320" t="s">
        <v>556</v>
      </c>
      <c r="BN34" s="321" t="s">
        <v>1733</v>
      </c>
      <c r="BO34" s="145" t="s">
        <v>998</v>
      </c>
      <c r="BP34" s="14" t="s">
        <v>556</v>
      </c>
      <c r="BQ34" s="14" t="s">
        <v>556</v>
      </c>
    </row>
    <row r="35" spans="1:70" s="56" customFormat="1" ht="13.95" customHeight="1" x14ac:dyDescent="0.3">
      <c r="A35" s="56" t="s">
        <v>459</v>
      </c>
      <c r="B35" s="57" t="s">
        <v>462</v>
      </c>
      <c r="C35" s="55" t="s">
        <v>387</v>
      </c>
      <c r="D35" s="58">
        <v>1</v>
      </c>
      <c r="E35" s="59"/>
      <c r="F35" s="60" t="s">
        <v>456</v>
      </c>
      <c r="G35" s="61" t="s">
        <v>531</v>
      </c>
      <c r="H35" s="61" t="s">
        <v>531</v>
      </c>
      <c r="I35" s="62" t="s">
        <v>386</v>
      </c>
      <c r="J35" s="63" t="s">
        <v>1771</v>
      </c>
      <c r="K35" s="99" t="s">
        <v>1547</v>
      </c>
      <c r="L35" s="130">
        <v>499691441</v>
      </c>
      <c r="M35" s="109" t="s">
        <v>564</v>
      </c>
      <c r="N35" s="12" t="s">
        <v>1546</v>
      </c>
      <c r="O35" s="100"/>
      <c r="P35" s="131">
        <v>604725365</v>
      </c>
      <c r="Q35" s="82"/>
      <c r="R35" s="72"/>
      <c r="S35" s="115"/>
      <c r="T35" s="112"/>
      <c r="U35" s="170">
        <v>0</v>
      </c>
      <c r="V35" s="48">
        <f t="shared" si="2"/>
        <v>0</v>
      </c>
      <c r="W35" s="171">
        <f t="shared" si="3"/>
        <v>0</v>
      </c>
      <c r="X35" s="69">
        <v>0</v>
      </c>
      <c r="Y35" s="48">
        <f t="shared" si="4"/>
        <v>0</v>
      </c>
      <c r="Z35" s="137">
        <f t="shared" si="5"/>
        <v>0</v>
      </c>
      <c r="AA35" s="69">
        <v>0</v>
      </c>
      <c r="AB35" s="48">
        <f t="shared" si="6"/>
        <v>0</v>
      </c>
      <c r="AC35" s="137">
        <f t="shared" si="7"/>
        <v>0</v>
      </c>
      <c r="AD35" s="70">
        <f t="shared" si="8"/>
        <v>0</v>
      </c>
      <c r="AE35" s="71">
        <f t="shared" si="9"/>
        <v>0</v>
      </c>
      <c r="AF35" s="193">
        <f t="shared" si="10"/>
        <v>0</v>
      </c>
      <c r="AG35" s="185">
        <f t="shared" si="11"/>
        <v>0</v>
      </c>
      <c r="AH35" s="180">
        <f t="shared" si="12"/>
        <v>0</v>
      </c>
      <c r="AI35" s="189">
        <v>199</v>
      </c>
      <c r="AJ35" s="125">
        <v>579.46550000000002</v>
      </c>
      <c r="AK35" s="149">
        <v>140</v>
      </c>
      <c r="AL35" s="221">
        <v>60</v>
      </c>
      <c r="AM35" s="216">
        <v>78.873239436619713</v>
      </c>
      <c r="AN35" s="213">
        <v>32.575757575757571</v>
      </c>
      <c r="AO35" s="127">
        <v>2.2879999999999998</v>
      </c>
      <c r="AP35" s="133">
        <v>0.18099999999999999</v>
      </c>
      <c r="AQ35" s="224">
        <f t="shared" si="13"/>
        <v>0.8883928571428571</v>
      </c>
      <c r="AR35" s="158">
        <v>224</v>
      </c>
      <c r="AS35" s="229">
        <f t="shared" si="14"/>
        <v>0.23329425556858147</v>
      </c>
      <c r="AT35" s="230">
        <v>853</v>
      </c>
      <c r="AU35" s="203">
        <v>16.08040201005025</v>
      </c>
      <c r="AV35" s="204">
        <v>61.80904522613065</v>
      </c>
      <c r="AW35" s="205">
        <v>22.110552763819097</v>
      </c>
      <c r="AX35" s="123">
        <v>9.8361000000000001</v>
      </c>
      <c r="AY35" s="281">
        <v>10.344827586206897</v>
      </c>
      <c r="AZ35" s="282">
        <v>39.655172413793103</v>
      </c>
      <c r="BA35" s="283">
        <f t="shared" si="15"/>
        <v>50.000000000000007</v>
      </c>
      <c r="BB35" s="234">
        <v>47.826086956521735</v>
      </c>
      <c r="BC35" s="20" t="s">
        <v>557</v>
      </c>
      <c r="BD35" s="263" t="s">
        <v>556</v>
      </c>
      <c r="BE35" s="262" t="s">
        <v>557</v>
      </c>
      <c r="BF35" s="260" t="s">
        <v>557</v>
      </c>
      <c r="BG35" s="256">
        <v>0</v>
      </c>
      <c r="BH35" s="254" t="s">
        <v>557</v>
      </c>
      <c r="BI35" s="249">
        <v>0</v>
      </c>
      <c r="BJ35" s="309" t="s">
        <v>557</v>
      </c>
      <c r="BK35" s="307" t="s">
        <v>557</v>
      </c>
      <c r="BL35" s="319" t="s">
        <v>557</v>
      </c>
      <c r="BM35" s="320" t="s">
        <v>556</v>
      </c>
      <c r="BN35" s="321" t="s">
        <v>557</v>
      </c>
      <c r="BO35" s="145" t="s">
        <v>557</v>
      </c>
      <c r="BP35" s="14" t="s">
        <v>556</v>
      </c>
      <c r="BQ35" s="14" t="s">
        <v>556</v>
      </c>
      <c r="BR35" s="72"/>
    </row>
    <row r="36" spans="1:70" s="72" customFormat="1" ht="13.95" customHeight="1" x14ac:dyDescent="0.3">
      <c r="A36" s="56" t="s">
        <v>459</v>
      </c>
      <c r="B36" s="57" t="s">
        <v>462</v>
      </c>
      <c r="C36" s="55" t="s">
        <v>231</v>
      </c>
      <c r="D36" s="58">
        <v>2</v>
      </c>
      <c r="E36" s="59" t="s">
        <v>637</v>
      </c>
      <c r="F36" s="60" t="s">
        <v>454</v>
      </c>
      <c r="G36" s="61" t="s">
        <v>223</v>
      </c>
      <c r="H36" s="61" t="s">
        <v>223</v>
      </c>
      <c r="I36" s="62" t="s">
        <v>223</v>
      </c>
      <c r="J36" s="63" t="s">
        <v>1773</v>
      </c>
      <c r="K36" s="99" t="s">
        <v>1772</v>
      </c>
      <c r="L36" s="130">
        <v>491528121</v>
      </c>
      <c r="M36" s="109" t="s">
        <v>564</v>
      </c>
      <c r="N36" s="12" t="s">
        <v>1255</v>
      </c>
      <c r="O36" s="100" t="s">
        <v>1256</v>
      </c>
      <c r="P36" s="131">
        <v>723913796</v>
      </c>
      <c r="Q36" s="67"/>
      <c r="R36" s="68"/>
      <c r="S36" s="99"/>
      <c r="T36" s="65"/>
      <c r="U36" s="170">
        <v>0</v>
      </c>
      <c r="V36" s="48">
        <f t="shared" si="2"/>
        <v>0</v>
      </c>
      <c r="W36" s="171">
        <f t="shared" si="3"/>
        <v>0</v>
      </c>
      <c r="X36" s="69">
        <v>68800</v>
      </c>
      <c r="Y36" s="48">
        <f t="shared" si="4"/>
        <v>191.11111111111111</v>
      </c>
      <c r="Z36" s="137">
        <f t="shared" si="5"/>
        <v>35.825017078066828</v>
      </c>
      <c r="AA36" s="69">
        <v>1500000</v>
      </c>
      <c r="AB36" s="48">
        <f t="shared" si="6"/>
        <v>4166.666666666667</v>
      </c>
      <c r="AC36" s="137">
        <f t="shared" si="7"/>
        <v>781.06868629506164</v>
      </c>
      <c r="AD36" s="70">
        <f t="shared" si="8"/>
        <v>1568800</v>
      </c>
      <c r="AE36" s="71">
        <f t="shared" si="9"/>
        <v>4357.7777777777774</v>
      </c>
      <c r="AF36" s="193">
        <f t="shared" si="10"/>
        <v>816.89370337312846</v>
      </c>
      <c r="AG36" s="185">
        <f t="shared" si="11"/>
        <v>4.7460293450310088E-2</v>
      </c>
      <c r="AH36" s="180">
        <f t="shared" si="12"/>
        <v>0.14274795268425841</v>
      </c>
      <c r="AI36" s="189">
        <v>360</v>
      </c>
      <c r="AJ36" s="125">
        <v>1920.4457</v>
      </c>
      <c r="AK36" s="149">
        <v>181</v>
      </c>
      <c r="AL36" s="221">
        <v>98</v>
      </c>
      <c r="AM36" s="216">
        <v>76.377952755905511</v>
      </c>
      <c r="AN36" s="213">
        <v>2.7027027027027026</v>
      </c>
      <c r="AO36" s="127">
        <v>6.6109999999999998</v>
      </c>
      <c r="AP36" s="133">
        <v>2.198</v>
      </c>
      <c r="AQ36" s="224">
        <f t="shared" si="13"/>
        <v>1.1650485436893203</v>
      </c>
      <c r="AR36" s="158">
        <v>309</v>
      </c>
      <c r="AS36" s="229">
        <f t="shared" si="14"/>
        <v>0.30612244897959184</v>
      </c>
      <c r="AT36" s="230">
        <v>1176</v>
      </c>
      <c r="AU36" s="203">
        <v>17.5</v>
      </c>
      <c r="AV36" s="204">
        <v>66.666666666666671</v>
      </c>
      <c r="AW36" s="205">
        <v>15.833333333333332</v>
      </c>
      <c r="AX36" s="123">
        <v>6.9672000000000001</v>
      </c>
      <c r="AY36" s="281">
        <v>6.2015503875968996</v>
      </c>
      <c r="AZ36" s="282">
        <v>39.534883720930232</v>
      </c>
      <c r="BA36" s="283">
        <f t="shared" si="15"/>
        <v>54.263565891472872</v>
      </c>
      <c r="BB36" s="234">
        <v>92.307692307692307</v>
      </c>
      <c r="BC36" s="20">
        <v>2009</v>
      </c>
      <c r="BD36" s="263" t="s">
        <v>556</v>
      </c>
      <c r="BE36" s="261" t="s">
        <v>556</v>
      </c>
      <c r="BF36" s="259" t="s">
        <v>556</v>
      </c>
      <c r="BG36" s="257" t="s">
        <v>1686</v>
      </c>
      <c r="BH36" s="254" t="s">
        <v>557</v>
      </c>
      <c r="BI36" s="249">
        <v>0</v>
      </c>
      <c r="BJ36" s="308" t="s">
        <v>556</v>
      </c>
      <c r="BK36" s="307" t="s">
        <v>557</v>
      </c>
      <c r="BL36" s="319" t="s">
        <v>1728</v>
      </c>
      <c r="BM36" s="320" t="s">
        <v>556</v>
      </c>
      <c r="BN36" s="321" t="s">
        <v>1803</v>
      </c>
      <c r="BO36" s="145" t="s">
        <v>998</v>
      </c>
      <c r="BP36" s="14" t="s">
        <v>556</v>
      </c>
      <c r="BQ36" s="14" t="s">
        <v>557</v>
      </c>
      <c r="BR36" s="56"/>
    </row>
    <row r="37" spans="1:70" s="56" customFormat="1" ht="13.95" customHeight="1" x14ac:dyDescent="0.3">
      <c r="A37" s="56" t="s">
        <v>459</v>
      </c>
      <c r="B37" s="57" t="s">
        <v>462</v>
      </c>
      <c r="C37" s="55" t="s">
        <v>123</v>
      </c>
      <c r="D37" s="58">
        <v>2</v>
      </c>
      <c r="E37" s="59"/>
      <c r="F37" s="60" t="s">
        <v>453</v>
      </c>
      <c r="G37" s="61" t="s">
        <v>113</v>
      </c>
      <c r="H37" s="61" t="s">
        <v>113</v>
      </c>
      <c r="I37" s="62" t="s">
        <v>113</v>
      </c>
      <c r="J37" s="63" t="s">
        <v>1774</v>
      </c>
      <c r="K37" s="99" t="s">
        <v>1022</v>
      </c>
      <c r="L37" s="130">
        <v>493543210</v>
      </c>
      <c r="M37" s="109" t="s">
        <v>564</v>
      </c>
      <c r="N37" s="12" t="s">
        <v>1021</v>
      </c>
      <c r="O37" s="100"/>
      <c r="P37" s="131">
        <v>777275111</v>
      </c>
      <c r="Q37" s="67"/>
      <c r="R37" s="68"/>
      <c r="S37" s="99"/>
      <c r="T37" s="65"/>
      <c r="U37" s="170">
        <v>59500</v>
      </c>
      <c r="V37" s="48">
        <f t="shared" si="2"/>
        <v>399.32885906040269</v>
      </c>
      <c r="W37" s="171">
        <f t="shared" si="3"/>
        <v>308.1545993498197</v>
      </c>
      <c r="X37" s="69">
        <v>0</v>
      </c>
      <c r="Y37" s="48">
        <f t="shared" si="4"/>
        <v>0</v>
      </c>
      <c r="Z37" s="137">
        <f t="shared" si="5"/>
        <v>0</v>
      </c>
      <c r="AA37" s="69">
        <v>0</v>
      </c>
      <c r="AB37" s="48">
        <f t="shared" si="6"/>
        <v>0</v>
      </c>
      <c r="AC37" s="137">
        <f t="shared" si="7"/>
        <v>0</v>
      </c>
      <c r="AD37" s="70">
        <f t="shared" si="8"/>
        <v>59500</v>
      </c>
      <c r="AE37" s="71">
        <f t="shared" si="9"/>
        <v>399.32885906040269</v>
      </c>
      <c r="AF37" s="193">
        <f t="shared" si="10"/>
        <v>308.1545993498197</v>
      </c>
      <c r="AG37" s="185">
        <f t="shared" si="11"/>
        <v>3.5000000000000001E-3</v>
      </c>
      <c r="AH37" s="180">
        <f t="shared" si="12"/>
        <v>5.1271003877638947E-3</v>
      </c>
      <c r="AI37" s="189">
        <v>149</v>
      </c>
      <c r="AJ37" s="125">
        <v>193.0849</v>
      </c>
      <c r="AK37" s="149">
        <v>88</v>
      </c>
      <c r="AL37" s="221">
        <v>42</v>
      </c>
      <c r="AM37" s="216">
        <v>100</v>
      </c>
      <c r="AN37" s="213">
        <v>31.944444444444439</v>
      </c>
      <c r="AO37" s="127">
        <v>3.4</v>
      </c>
      <c r="AP37" s="133">
        <v>2.3210000000000002</v>
      </c>
      <c r="AQ37" s="224">
        <f t="shared" si="13"/>
        <v>2.6607142857142856</v>
      </c>
      <c r="AR37" s="158">
        <v>56</v>
      </c>
      <c r="AS37" s="229">
        <f t="shared" si="14"/>
        <v>0.6506550218340611</v>
      </c>
      <c r="AT37" s="230">
        <v>229</v>
      </c>
      <c r="AU37" s="203">
        <v>13.422818791946309</v>
      </c>
      <c r="AV37" s="204">
        <v>77.181208053691279</v>
      </c>
      <c r="AW37" s="205">
        <v>9.3959731543624159</v>
      </c>
      <c r="AX37" s="123">
        <v>3.8094999999999999</v>
      </c>
      <c r="AY37" s="281">
        <v>1.5625</v>
      </c>
      <c r="AZ37" s="282">
        <v>29.6875</v>
      </c>
      <c r="BA37" s="283">
        <f t="shared" si="15"/>
        <v>68.75</v>
      </c>
      <c r="BB37" s="234">
        <v>88.888888888888886</v>
      </c>
      <c r="BC37" s="20">
        <v>2002</v>
      </c>
      <c r="BD37" s="263" t="s">
        <v>556</v>
      </c>
      <c r="BE37" s="262" t="s">
        <v>557</v>
      </c>
      <c r="BF37" s="260" t="s">
        <v>557</v>
      </c>
      <c r="BG37" s="256">
        <v>0</v>
      </c>
      <c r="BH37" s="254" t="s">
        <v>557</v>
      </c>
      <c r="BI37" s="249">
        <v>0</v>
      </c>
      <c r="BJ37" s="309" t="s">
        <v>557</v>
      </c>
      <c r="BK37" s="307" t="s">
        <v>557</v>
      </c>
      <c r="BL37" s="319" t="s">
        <v>1728</v>
      </c>
      <c r="BM37" s="320" t="s">
        <v>557</v>
      </c>
      <c r="BN37" s="321" t="s">
        <v>557</v>
      </c>
      <c r="BO37" s="145" t="s">
        <v>557</v>
      </c>
      <c r="BP37" s="14" t="s">
        <v>556</v>
      </c>
      <c r="BQ37" s="14" t="s">
        <v>557</v>
      </c>
      <c r="BR37" s="72"/>
    </row>
    <row r="38" spans="1:70" s="56" customFormat="1" ht="13.95" customHeight="1" x14ac:dyDescent="0.3">
      <c r="A38" s="56" t="s">
        <v>460</v>
      </c>
      <c r="B38" s="77" t="s">
        <v>464</v>
      </c>
      <c r="C38" s="74" t="s">
        <v>223</v>
      </c>
      <c r="D38" s="58">
        <v>8</v>
      </c>
      <c r="E38" s="59" t="s">
        <v>754</v>
      </c>
      <c r="F38" s="60" t="s">
        <v>454</v>
      </c>
      <c r="G38" s="75" t="s">
        <v>223</v>
      </c>
      <c r="H38" s="75" t="s">
        <v>223</v>
      </c>
      <c r="I38" s="76" t="s">
        <v>223</v>
      </c>
      <c r="J38" s="63" t="s">
        <v>1776</v>
      </c>
      <c r="K38" s="99" t="s">
        <v>1775</v>
      </c>
      <c r="L38" s="130">
        <v>491504235</v>
      </c>
      <c r="M38" s="109" t="s">
        <v>564</v>
      </c>
      <c r="N38" s="12" t="s">
        <v>1257</v>
      </c>
      <c r="O38" s="100" t="s">
        <v>1258</v>
      </c>
      <c r="P38" s="131">
        <v>739527537</v>
      </c>
      <c r="Q38" s="67"/>
      <c r="R38" s="68"/>
      <c r="S38" s="99"/>
      <c r="T38" s="65"/>
      <c r="U38" s="172">
        <v>0</v>
      </c>
      <c r="V38" s="135">
        <f t="shared" si="2"/>
        <v>0</v>
      </c>
      <c r="W38" s="173">
        <f t="shared" si="3"/>
        <v>0</v>
      </c>
      <c r="X38" s="69">
        <v>143920</v>
      </c>
      <c r="Y38" s="48">
        <f t="shared" si="4"/>
        <v>18.926880589163599</v>
      </c>
      <c r="Z38" s="137">
        <f t="shared" si="5"/>
        <v>64.648485762397314</v>
      </c>
      <c r="AA38" s="69">
        <v>0</v>
      </c>
      <c r="AB38" s="48">
        <f t="shared" si="6"/>
        <v>0</v>
      </c>
      <c r="AC38" s="137">
        <f t="shared" si="7"/>
        <v>0</v>
      </c>
      <c r="AD38" s="70">
        <f t="shared" si="8"/>
        <v>143920</v>
      </c>
      <c r="AE38" s="71">
        <f t="shared" si="9"/>
        <v>18.926880589163599</v>
      </c>
      <c r="AF38" s="193">
        <f t="shared" si="10"/>
        <v>64.648485762397314</v>
      </c>
      <c r="AG38" s="185">
        <f t="shared" si="11"/>
        <v>1.9857197061156907E-4</v>
      </c>
      <c r="AH38" s="180">
        <f t="shared" ref="AH38:AH69" si="16">IF(AD38=0,0,1/(AP38*5000000/AD38))</f>
        <v>2.0781171034582342E-3</v>
      </c>
      <c r="AI38" s="189">
        <v>7604</v>
      </c>
      <c r="AJ38" s="126">
        <v>2226.1929</v>
      </c>
      <c r="AK38" s="150">
        <v>1432</v>
      </c>
      <c r="AL38" s="221">
        <v>1126</v>
      </c>
      <c r="AM38" s="216">
        <v>30.610298792116975</v>
      </c>
      <c r="AN38" s="213">
        <v>1.1546043368065333</v>
      </c>
      <c r="AO38" s="128">
        <v>144.95500000000001</v>
      </c>
      <c r="AP38" s="134">
        <v>13.851000000000001</v>
      </c>
      <c r="AQ38" s="224">
        <f t="shared" si="13"/>
        <v>0.94155522535908864</v>
      </c>
      <c r="AR38" s="158">
        <v>8076</v>
      </c>
      <c r="AS38" s="229">
        <f t="shared" si="14"/>
        <v>0.69563626383679444</v>
      </c>
      <c r="AT38" s="230">
        <v>10931</v>
      </c>
      <c r="AU38" s="203">
        <v>15.689110994213573</v>
      </c>
      <c r="AV38" s="204">
        <v>64.768542872172532</v>
      </c>
      <c r="AW38" s="205">
        <v>19.54234613361389</v>
      </c>
      <c r="AX38" s="123">
        <v>11.326700000000001</v>
      </c>
      <c r="AY38" s="281">
        <v>2.5342465753424657</v>
      </c>
      <c r="AZ38" s="282">
        <v>41.986301369863014</v>
      </c>
      <c r="BA38" s="283">
        <f t="shared" si="15"/>
        <v>55.479452054794521</v>
      </c>
      <c r="BB38" s="234">
        <v>44.788732394366193</v>
      </c>
      <c r="BC38" s="20">
        <v>2008</v>
      </c>
      <c r="BD38" s="263" t="s">
        <v>556</v>
      </c>
      <c r="BE38" s="261" t="s">
        <v>556</v>
      </c>
      <c r="BF38" s="259" t="s">
        <v>556</v>
      </c>
      <c r="BG38" s="256">
        <v>83.851351351351354</v>
      </c>
      <c r="BH38" s="248" t="s">
        <v>556</v>
      </c>
      <c r="BI38" s="249">
        <v>26.903713027061045</v>
      </c>
      <c r="BJ38" s="311" t="s">
        <v>1711</v>
      </c>
      <c r="BK38" s="307" t="s">
        <v>556</v>
      </c>
      <c r="BL38" s="319" t="s">
        <v>1777</v>
      </c>
      <c r="BM38" s="320" t="s">
        <v>556</v>
      </c>
      <c r="BN38" s="321" t="s">
        <v>2473</v>
      </c>
      <c r="BO38" s="145" t="s">
        <v>556</v>
      </c>
      <c r="BP38" s="14" t="s">
        <v>556</v>
      </c>
      <c r="BQ38" s="14" t="s">
        <v>556</v>
      </c>
    </row>
    <row r="39" spans="1:70" s="56" customFormat="1" ht="13.95" customHeight="1" x14ac:dyDescent="0.3">
      <c r="A39" s="56" t="s">
        <v>459</v>
      </c>
      <c r="B39" s="57" t="s">
        <v>462</v>
      </c>
      <c r="C39" s="55" t="s">
        <v>232</v>
      </c>
      <c r="D39" s="58">
        <v>5</v>
      </c>
      <c r="E39" s="59" t="s">
        <v>641</v>
      </c>
      <c r="F39" s="60" t="s">
        <v>454</v>
      </c>
      <c r="G39" s="61" t="s">
        <v>226</v>
      </c>
      <c r="H39" s="61" t="s">
        <v>233</v>
      </c>
      <c r="I39" s="62" t="s">
        <v>233</v>
      </c>
      <c r="J39" s="63" t="s">
        <v>1770</v>
      </c>
      <c r="K39" s="99" t="s">
        <v>1778</v>
      </c>
      <c r="L39" s="130">
        <v>491491273</v>
      </c>
      <c r="M39" s="109" t="s">
        <v>537</v>
      </c>
      <c r="N39" s="12" t="s">
        <v>1259</v>
      </c>
      <c r="O39" s="100" t="s">
        <v>1260</v>
      </c>
      <c r="P39" s="131">
        <v>608710832</v>
      </c>
      <c r="Q39" s="67"/>
      <c r="R39" s="68"/>
      <c r="S39" s="99"/>
      <c r="T39" s="65"/>
      <c r="U39" s="170">
        <f>305000+260000</f>
        <v>565000</v>
      </c>
      <c r="V39" s="48">
        <f t="shared" si="2"/>
        <v>2511.1111111111113</v>
      </c>
      <c r="W39" s="171">
        <f t="shared" si="3"/>
        <v>540.00799785296647</v>
      </c>
      <c r="X39" s="69">
        <v>0</v>
      </c>
      <c r="Y39" s="48">
        <f t="shared" si="4"/>
        <v>0</v>
      </c>
      <c r="Z39" s="137">
        <f t="shared" si="5"/>
        <v>0</v>
      </c>
      <c r="AA39" s="69">
        <v>0</v>
      </c>
      <c r="AB39" s="48">
        <f t="shared" si="6"/>
        <v>0</v>
      </c>
      <c r="AC39" s="137">
        <f t="shared" si="7"/>
        <v>0</v>
      </c>
      <c r="AD39" s="70">
        <f t="shared" si="8"/>
        <v>565000</v>
      </c>
      <c r="AE39" s="71">
        <f t="shared" si="9"/>
        <v>2511.1111111111113</v>
      </c>
      <c r="AF39" s="193">
        <f t="shared" si="10"/>
        <v>540.00799785296647</v>
      </c>
      <c r="AG39" s="185">
        <f t="shared" si="11"/>
        <v>3.7049180327868851E-2</v>
      </c>
      <c r="AH39" s="180">
        <f t="shared" si="16"/>
        <v>0.9826086956521739</v>
      </c>
      <c r="AI39" s="189">
        <v>225</v>
      </c>
      <c r="AJ39" s="125">
        <v>1046.2808</v>
      </c>
      <c r="AK39" s="149">
        <v>221</v>
      </c>
      <c r="AL39" s="221">
        <v>70</v>
      </c>
      <c r="AM39" s="216">
        <v>92.045454545454547</v>
      </c>
      <c r="AN39" s="213">
        <v>30.201342281879196</v>
      </c>
      <c r="AO39" s="127">
        <v>3.05</v>
      </c>
      <c r="AP39" s="133">
        <v>0.115</v>
      </c>
      <c r="AQ39" s="224">
        <f t="shared" si="13"/>
        <v>1.0869565217391304</v>
      </c>
      <c r="AR39" s="158">
        <v>207</v>
      </c>
      <c r="AS39" s="229">
        <f t="shared" si="14"/>
        <v>0.32234957020057309</v>
      </c>
      <c r="AT39" s="230">
        <v>698</v>
      </c>
      <c r="AU39" s="203">
        <v>17.333333333333336</v>
      </c>
      <c r="AV39" s="204">
        <v>60.444444444444436</v>
      </c>
      <c r="AW39" s="205">
        <v>22.222222222222221</v>
      </c>
      <c r="AX39" s="123">
        <v>2.9630000000000001</v>
      </c>
      <c r="AY39" s="281">
        <v>14.942528735632186</v>
      </c>
      <c r="AZ39" s="282">
        <v>28.735632183908045</v>
      </c>
      <c r="BA39" s="283">
        <f t="shared" si="15"/>
        <v>56.321839080459775</v>
      </c>
      <c r="BB39" s="234">
        <v>100</v>
      </c>
      <c r="BC39" s="20">
        <v>2006</v>
      </c>
      <c r="BD39" s="263" t="s">
        <v>556</v>
      </c>
      <c r="BE39" s="261" t="s">
        <v>556</v>
      </c>
      <c r="BF39" s="260" t="s">
        <v>557</v>
      </c>
      <c r="BG39" s="256">
        <v>1.94174757281553</v>
      </c>
      <c r="BH39" s="254" t="s">
        <v>557</v>
      </c>
      <c r="BI39" s="249">
        <v>0</v>
      </c>
      <c r="BJ39" s="309" t="s">
        <v>557</v>
      </c>
      <c r="BK39" s="307" t="s">
        <v>557</v>
      </c>
      <c r="BL39" s="319" t="s">
        <v>1728</v>
      </c>
      <c r="BM39" s="320" t="s">
        <v>557</v>
      </c>
      <c r="BN39" s="321" t="s">
        <v>1838</v>
      </c>
      <c r="BO39" s="145" t="s">
        <v>557</v>
      </c>
      <c r="BP39" s="14">
        <v>2</v>
      </c>
      <c r="BQ39" s="14" t="s">
        <v>557</v>
      </c>
    </row>
    <row r="40" spans="1:70" s="72" customFormat="1" ht="13.95" customHeight="1" x14ac:dyDescent="0.3">
      <c r="A40" s="56" t="s">
        <v>459</v>
      </c>
      <c r="B40" s="57" t="s">
        <v>462</v>
      </c>
      <c r="C40" s="55" t="s">
        <v>124</v>
      </c>
      <c r="D40" s="58">
        <v>1</v>
      </c>
      <c r="E40" s="59"/>
      <c r="F40" s="60" t="s">
        <v>453</v>
      </c>
      <c r="G40" s="61" t="s">
        <v>113</v>
      </c>
      <c r="H40" s="61" t="s">
        <v>113</v>
      </c>
      <c r="I40" s="62" t="s">
        <v>113</v>
      </c>
      <c r="J40" s="63" t="s">
        <v>1779</v>
      </c>
      <c r="K40" s="99" t="s">
        <v>1024</v>
      </c>
      <c r="L40" s="130">
        <v>493525186</v>
      </c>
      <c r="M40" s="109" t="s">
        <v>564</v>
      </c>
      <c r="N40" s="12" t="s">
        <v>1023</v>
      </c>
      <c r="O40" s="100"/>
      <c r="P40" s="131">
        <v>724118928</v>
      </c>
      <c r="Q40" s="67"/>
      <c r="R40" s="68"/>
      <c r="S40" s="99"/>
      <c r="T40" s="65"/>
      <c r="U40" s="170">
        <v>279000</v>
      </c>
      <c r="V40" s="48">
        <f t="shared" si="2"/>
        <v>2469.0265486725662</v>
      </c>
      <c r="W40" s="171">
        <f t="shared" si="3"/>
        <v>2010.8166077595902</v>
      </c>
      <c r="X40" s="69">
        <v>50336</v>
      </c>
      <c r="Y40" s="48">
        <f t="shared" si="4"/>
        <v>445.45132743362831</v>
      </c>
      <c r="Z40" s="137">
        <f t="shared" si="5"/>
        <v>362.78302784296318</v>
      </c>
      <c r="AA40" s="69">
        <v>0</v>
      </c>
      <c r="AB40" s="48">
        <f t="shared" si="6"/>
        <v>0</v>
      </c>
      <c r="AC40" s="137">
        <f t="shared" si="7"/>
        <v>0</v>
      </c>
      <c r="AD40" s="70">
        <f t="shared" si="8"/>
        <v>329336</v>
      </c>
      <c r="AE40" s="71">
        <f t="shared" si="9"/>
        <v>2914.4778761061948</v>
      </c>
      <c r="AF40" s="193">
        <f t="shared" si="10"/>
        <v>2373.5996356025535</v>
      </c>
      <c r="AG40" s="185">
        <f t="shared" si="11"/>
        <v>5.9393327321911625E-2</v>
      </c>
      <c r="AH40" s="180">
        <f t="shared" si="16"/>
        <v>0.20266830769230768</v>
      </c>
      <c r="AI40" s="189">
        <v>113</v>
      </c>
      <c r="AJ40" s="125">
        <v>138.74959999999999</v>
      </c>
      <c r="AK40" s="149">
        <v>54</v>
      </c>
      <c r="AL40" s="221">
        <v>33</v>
      </c>
      <c r="AM40" s="216">
        <v>100</v>
      </c>
      <c r="AN40" s="213">
        <v>1.8518518518518516</v>
      </c>
      <c r="AO40" s="127">
        <v>1.109</v>
      </c>
      <c r="AP40" s="133">
        <v>0.32500000000000001</v>
      </c>
      <c r="AQ40" s="224">
        <f t="shared" si="13"/>
        <v>2.1730769230769229</v>
      </c>
      <c r="AR40" s="158">
        <v>52</v>
      </c>
      <c r="AS40" s="229">
        <f t="shared" si="14"/>
        <v>0.71518987341772156</v>
      </c>
      <c r="AT40" s="230">
        <v>158</v>
      </c>
      <c r="AU40" s="203">
        <v>22.123893805309734</v>
      </c>
      <c r="AV40" s="204">
        <v>65.486725663716811</v>
      </c>
      <c r="AW40" s="205">
        <v>12.389380530973451</v>
      </c>
      <c r="AX40" s="123">
        <v>0</v>
      </c>
      <c r="AY40" s="281">
        <v>6.25</v>
      </c>
      <c r="AZ40" s="282">
        <v>31.25</v>
      </c>
      <c r="BA40" s="283">
        <f t="shared" si="15"/>
        <v>62.5</v>
      </c>
      <c r="BB40" s="234">
        <v>94.444444444444443</v>
      </c>
      <c r="BC40" s="20">
        <v>2016</v>
      </c>
      <c r="BD40" s="264" t="s">
        <v>557</v>
      </c>
      <c r="BE40" s="262" t="s">
        <v>557</v>
      </c>
      <c r="BF40" s="260" t="s">
        <v>557</v>
      </c>
      <c r="BG40" s="256">
        <v>0</v>
      </c>
      <c r="BH40" s="254" t="s">
        <v>557</v>
      </c>
      <c r="BI40" s="249">
        <v>0</v>
      </c>
      <c r="BJ40" s="309" t="s">
        <v>557</v>
      </c>
      <c r="BK40" s="307" t="s">
        <v>557</v>
      </c>
      <c r="BL40" s="319" t="s">
        <v>1728</v>
      </c>
      <c r="BM40" s="320" t="s">
        <v>557</v>
      </c>
      <c r="BN40" s="321" t="s">
        <v>557</v>
      </c>
      <c r="BO40" s="145" t="s">
        <v>557</v>
      </c>
      <c r="BP40" s="14" t="s">
        <v>556</v>
      </c>
      <c r="BQ40" s="14" t="s">
        <v>557</v>
      </c>
    </row>
    <row r="41" spans="1:70" s="56" customFormat="1" ht="13.95" customHeight="1" x14ac:dyDescent="0.3">
      <c r="A41" s="56" t="s">
        <v>459</v>
      </c>
      <c r="B41" s="57" t="s">
        <v>462</v>
      </c>
      <c r="C41" s="55" t="s">
        <v>125</v>
      </c>
      <c r="D41" s="58">
        <v>1</v>
      </c>
      <c r="E41" s="59"/>
      <c r="F41" s="60" t="s">
        <v>453</v>
      </c>
      <c r="G41" s="61" t="s">
        <v>117</v>
      </c>
      <c r="H41" s="61" t="s">
        <v>117</v>
      </c>
      <c r="I41" s="62" t="s">
        <v>117</v>
      </c>
      <c r="J41" s="63" t="s">
        <v>1780</v>
      </c>
      <c r="K41" s="99" t="s">
        <v>1026</v>
      </c>
      <c r="L41" s="130">
        <v>493698208</v>
      </c>
      <c r="M41" s="109" t="s">
        <v>564</v>
      </c>
      <c r="N41" s="12" t="s">
        <v>1025</v>
      </c>
      <c r="O41" s="100"/>
      <c r="P41" s="131">
        <v>777039008</v>
      </c>
      <c r="Q41" s="67"/>
      <c r="R41" s="68"/>
      <c r="S41" s="99"/>
      <c r="T41" s="65"/>
      <c r="U41" s="170">
        <v>0</v>
      </c>
      <c r="V41" s="48">
        <f t="shared" si="2"/>
        <v>0</v>
      </c>
      <c r="W41" s="171">
        <f t="shared" si="3"/>
        <v>0</v>
      </c>
      <c r="X41" s="69">
        <v>70000</v>
      </c>
      <c r="Y41" s="48">
        <f t="shared" si="4"/>
        <v>286.88524590163934</v>
      </c>
      <c r="Z41" s="137">
        <f t="shared" si="5"/>
        <v>190.00544229874012</v>
      </c>
      <c r="AA41" s="69">
        <v>0</v>
      </c>
      <c r="AB41" s="48">
        <f t="shared" si="6"/>
        <v>0</v>
      </c>
      <c r="AC41" s="137">
        <f t="shared" si="7"/>
        <v>0</v>
      </c>
      <c r="AD41" s="70">
        <f t="shared" si="8"/>
        <v>70000</v>
      </c>
      <c r="AE41" s="71">
        <f t="shared" si="9"/>
        <v>286.88524590163934</v>
      </c>
      <c r="AF41" s="193">
        <f t="shared" si="10"/>
        <v>190.00544229874012</v>
      </c>
      <c r="AG41" s="185">
        <f t="shared" si="11"/>
        <v>9.2592592592592587E-3</v>
      </c>
      <c r="AH41" s="180">
        <f t="shared" si="16"/>
        <v>0.3783783783783784</v>
      </c>
      <c r="AI41" s="189">
        <v>244</v>
      </c>
      <c r="AJ41" s="125">
        <v>368.41050000000001</v>
      </c>
      <c r="AK41" s="149">
        <v>114</v>
      </c>
      <c r="AL41" s="221">
        <v>78</v>
      </c>
      <c r="AM41" s="216">
        <v>92.857142857142861</v>
      </c>
      <c r="AN41" s="213">
        <v>9.8360655737704921</v>
      </c>
      <c r="AO41" s="127">
        <v>1.512</v>
      </c>
      <c r="AP41" s="133">
        <v>3.6999999999999998E-2</v>
      </c>
      <c r="AQ41" s="224">
        <f t="shared" si="13"/>
        <v>1.0124481327800829</v>
      </c>
      <c r="AR41" s="158">
        <v>241</v>
      </c>
      <c r="AS41" s="229">
        <f t="shared" si="14"/>
        <v>0.55580865603644647</v>
      </c>
      <c r="AT41" s="230">
        <v>439</v>
      </c>
      <c r="AU41" s="203">
        <v>13.934426229508196</v>
      </c>
      <c r="AV41" s="204">
        <v>67.21311475409837</v>
      </c>
      <c r="AW41" s="205">
        <v>18.852459016393443</v>
      </c>
      <c r="AX41" s="123">
        <v>5.3891999999999998</v>
      </c>
      <c r="AY41" s="281">
        <v>19.417475728155338</v>
      </c>
      <c r="AZ41" s="282">
        <v>35.922330097087382</v>
      </c>
      <c r="BA41" s="283">
        <f t="shared" si="15"/>
        <v>44.660194174757279</v>
      </c>
      <c r="BB41" s="234">
        <v>97.297297297297305</v>
      </c>
      <c r="BC41" s="20">
        <v>2017</v>
      </c>
      <c r="BD41" s="263" t="s">
        <v>556</v>
      </c>
      <c r="BE41" s="261" t="s">
        <v>556</v>
      </c>
      <c r="BF41" s="260" t="s">
        <v>557</v>
      </c>
      <c r="BG41" s="256">
        <v>70.353982300884951</v>
      </c>
      <c r="BH41" s="254" t="s">
        <v>557</v>
      </c>
      <c r="BI41" s="249">
        <v>0</v>
      </c>
      <c r="BJ41" s="309" t="s">
        <v>557</v>
      </c>
      <c r="BK41" s="307" t="s">
        <v>557</v>
      </c>
      <c r="BL41" s="319" t="s">
        <v>1728</v>
      </c>
      <c r="BM41" s="320" t="s">
        <v>556</v>
      </c>
      <c r="BN41" s="321" t="s">
        <v>1733</v>
      </c>
      <c r="BO41" s="145" t="s">
        <v>557</v>
      </c>
      <c r="BP41" s="14" t="s">
        <v>556</v>
      </c>
      <c r="BQ41" s="14" t="s">
        <v>557</v>
      </c>
    </row>
    <row r="42" spans="1:70" s="56" customFormat="1" ht="13.95" customHeight="1" x14ac:dyDescent="0.3">
      <c r="A42" s="56" t="s">
        <v>459</v>
      </c>
      <c r="B42" s="57" t="s">
        <v>462</v>
      </c>
      <c r="C42" s="55" t="s">
        <v>126</v>
      </c>
      <c r="D42" s="58">
        <v>2</v>
      </c>
      <c r="E42" s="59" t="s">
        <v>502</v>
      </c>
      <c r="F42" s="60" t="s">
        <v>453</v>
      </c>
      <c r="G42" s="61" t="s">
        <v>113</v>
      </c>
      <c r="H42" s="61" t="s">
        <v>114</v>
      </c>
      <c r="I42" s="62" t="s">
        <v>114</v>
      </c>
      <c r="J42" s="63" t="s">
        <v>2498</v>
      </c>
      <c r="K42" s="99" t="s">
        <v>1028</v>
      </c>
      <c r="L42" s="130">
        <v>493551506</v>
      </c>
      <c r="M42" s="109" t="s">
        <v>564</v>
      </c>
      <c r="N42" s="12" t="s">
        <v>1027</v>
      </c>
      <c r="O42" s="100"/>
      <c r="P42" s="131">
        <v>724181119</v>
      </c>
      <c r="Q42" s="67"/>
      <c r="R42" s="68"/>
      <c r="S42" s="99"/>
      <c r="T42" s="65"/>
      <c r="U42" s="170">
        <v>125000</v>
      </c>
      <c r="V42" s="48">
        <f t="shared" si="2"/>
        <v>833.33333333333337</v>
      </c>
      <c r="W42" s="171">
        <f t="shared" si="3"/>
        <v>186.17100894410208</v>
      </c>
      <c r="X42" s="69">
        <v>143430</v>
      </c>
      <c r="Y42" s="48">
        <f t="shared" si="4"/>
        <v>956.2</v>
      </c>
      <c r="Z42" s="137">
        <f t="shared" si="5"/>
        <v>213.6200625028205</v>
      </c>
      <c r="AA42" s="69">
        <v>0</v>
      </c>
      <c r="AB42" s="48">
        <f t="shared" si="6"/>
        <v>0</v>
      </c>
      <c r="AC42" s="137">
        <f t="shared" si="7"/>
        <v>0</v>
      </c>
      <c r="AD42" s="70">
        <f t="shared" si="8"/>
        <v>268430</v>
      </c>
      <c r="AE42" s="71">
        <f t="shared" si="9"/>
        <v>1789.5333333333333</v>
      </c>
      <c r="AF42" s="193">
        <f t="shared" si="10"/>
        <v>399.79107144692256</v>
      </c>
      <c r="AG42" s="185">
        <f t="shared" si="11"/>
        <v>1.0051675716158023E-2</v>
      </c>
      <c r="AH42" s="180">
        <f t="shared" si="16"/>
        <v>1.3897488998187936E-2</v>
      </c>
      <c r="AI42" s="189">
        <v>150</v>
      </c>
      <c r="AJ42" s="125">
        <v>671.42570000000001</v>
      </c>
      <c r="AK42" s="149">
        <v>88</v>
      </c>
      <c r="AL42" s="221">
        <v>46</v>
      </c>
      <c r="AM42" s="216">
        <v>65.625</v>
      </c>
      <c r="AN42" s="213">
        <v>19</v>
      </c>
      <c r="AO42" s="127">
        <v>5.3410000000000002</v>
      </c>
      <c r="AP42" s="133">
        <v>3.863</v>
      </c>
      <c r="AQ42" s="224">
        <f t="shared" si="13"/>
        <v>0.7109004739336493</v>
      </c>
      <c r="AR42" s="158">
        <v>211</v>
      </c>
      <c r="AS42" s="229">
        <f t="shared" si="14"/>
        <v>0.43227665706051871</v>
      </c>
      <c r="AT42" s="230">
        <v>347</v>
      </c>
      <c r="AU42" s="203">
        <v>8.6666666666666679</v>
      </c>
      <c r="AV42" s="204">
        <v>65.333333333333329</v>
      </c>
      <c r="AW42" s="205">
        <v>26</v>
      </c>
      <c r="AX42" s="123">
        <v>0.96150000000000002</v>
      </c>
      <c r="AY42" s="281">
        <v>1.7241379310344827</v>
      </c>
      <c r="AZ42" s="282">
        <v>51.724137931034484</v>
      </c>
      <c r="BA42" s="283">
        <f t="shared" si="15"/>
        <v>46.551724137931039</v>
      </c>
      <c r="BB42" s="234">
        <v>38.983050847457626</v>
      </c>
      <c r="BC42" s="20" t="s">
        <v>557</v>
      </c>
      <c r="BD42" s="263" t="s">
        <v>556</v>
      </c>
      <c r="BE42" s="261" t="s">
        <v>556</v>
      </c>
      <c r="BF42" s="260" t="s">
        <v>557</v>
      </c>
      <c r="BG42" s="256">
        <v>19.35483870967742</v>
      </c>
      <c r="BH42" s="254" t="s">
        <v>557</v>
      </c>
      <c r="BI42" s="249">
        <v>9.5588235294117645</v>
      </c>
      <c r="BJ42" s="309" t="s">
        <v>557</v>
      </c>
      <c r="BK42" s="307" t="s">
        <v>557</v>
      </c>
      <c r="BL42" s="319" t="s">
        <v>1728</v>
      </c>
      <c r="BM42" s="320" t="s">
        <v>557</v>
      </c>
      <c r="BN42" s="321" t="s">
        <v>1781</v>
      </c>
      <c r="BO42" s="145" t="s">
        <v>557</v>
      </c>
      <c r="BP42" s="14" t="s">
        <v>557</v>
      </c>
      <c r="BQ42" s="14" t="s">
        <v>557</v>
      </c>
    </row>
    <row r="43" spans="1:70" s="56" customFormat="1" ht="13.95" customHeight="1" x14ac:dyDescent="0.3">
      <c r="A43" s="56" t="s">
        <v>459</v>
      </c>
      <c r="B43" s="57" t="s">
        <v>462</v>
      </c>
      <c r="C43" s="55" t="s">
        <v>235</v>
      </c>
      <c r="D43" s="58">
        <v>1</v>
      </c>
      <c r="E43" s="59"/>
      <c r="F43" s="60" t="s">
        <v>454</v>
      </c>
      <c r="G43" s="61" t="s">
        <v>226</v>
      </c>
      <c r="H43" s="61" t="s">
        <v>1227</v>
      </c>
      <c r="I43" s="62" t="s">
        <v>1227</v>
      </c>
      <c r="J43" s="63" t="s">
        <v>1783</v>
      </c>
      <c r="K43" s="99" t="s">
        <v>1782</v>
      </c>
      <c r="L43" s="130">
        <v>491541134</v>
      </c>
      <c r="M43" s="109" t="s">
        <v>564</v>
      </c>
      <c r="N43" s="12" t="s">
        <v>1261</v>
      </c>
      <c r="O43" s="100" t="s">
        <v>1262</v>
      </c>
      <c r="P43" s="131"/>
      <c r="Q43" s="67"/>
      <c r="R43" s="68"/>
      <c r="S43" s="99"/>
      <c r="T43" s="65"/>
      <c r="U43" s="170">
        <f>110000+230000</f>
        <v>340000</v>
      </c>
      <c r="V43" s="48">
        <f t="shared" si="2"/>
        <v>941.82825484764544</v>
      </c>
      <c r="W43" s="171">
        <f t="shared" si="3"/>
        <v>1396.5195447017691</v>
      </c>
      <c r="X43" s="69">
        <f>826394+17000</f>
        <v>843394</v>
      </c>
      <c r="Y43" s="48">
        <f t="shared" si="4"/>
        <v>2336.2714681440443</v>
      </c>
      <c r="Z43" s="137">
        <f t="shared" si="5"/>
        <v>3464.1653084829527</v>
      </c>
      <c r="AA43" s="69">
        <v>0</v>
      </c>
      <c r="AB43" s="48">
        <f t="shared" si="6"/>
        <v>0</v>
      </c>
      <c r="AC43" s="137">
        <f t="shared" si="7"/>
        <v>0</v>
      </c>
      <c r="AD43" s="70">
        <f t="shared" si="8"/>
        <v>1183394</v>
      </c>
      <c r="AE43" s="71">
        <f t="shared" si="9"/>
        <v>3278.0997229916898</v>
      </c>
      <c r="AF43" s="193">
        <f t="shared" si="10"/>
        <v>4860.6848531847218</v>
      </c>
      <c r="AG43" s="185">
        <f t="shared" si="11"/>
        <v>0.12050855397148676</v>
      </c>
      <c r="AH43" s="180">
        <f t="shared" si="16"/>
        <v>0.23644235764235766</v>
      </c>
      <c r="AI43" s="189">
        <v>361</v>
      </c>
      <c r="AJ43" s="125">
        <v>243.4624</v>
      </c>
      <c r="AK43" s="149">
        <v>153</v>
      </c>
      <c r="AL43" s="221">
        <v>112</v>
      </c>
      <c r="AM43" s="216">
        <v>85.517241379310349</v>
      </c>
      <c r="AN43" s="213">
        <v>10.869565217391305</v>
      </c>
      <c r="AO43" s="127">
        <v>1.964</v>
      </c>
      <c r="AP43" s="133">
        <v>1.0009999999999999</v>
      </c>
      <c r="AQ43" s="224">
        <f t="shared" si="13"/>
        <v>0.83371824480369516</v>
      </c>
      <c r="AR43" s="158">
        <v>433</v>
      </c>
      <c r="AS43" s="229">
        <f t="shared" si="14"/>
        <v>0.82608695652173914</v>
      </c>
      <c r="AT43" s="230">
        <v>437</v>
      </c>
      <c r="AU43" s="203">
        <v>13.019390581717452</v>
      </c>
      <c r="AV43" s="204">
        <v>68.144044321329631</v>
      </c>
      <c r="AW43" s="205">
        <v>18.83656509695291</v>
      </c>
      <c r="AX43" s="123">
        <v>3.1873</v>
      </c>
      <c r="AY43" s="281">
        <v>2.9940119760479043</v>
      </c>
      <c r="AZ43" s="282">
        <v>47.904191616766468</v>
      </c>
      <c r="BA43" s="283">
        <f t="shared" si="15"/>
        <v>49.101796407185631</v>
      </c>
      <c r="BB43" s="234">
        <v>81.72043010752688</v>
      </c>
      <c r="BC43" s="20">
        <v>2012</v>
      </c>
      <c r="BD43" s="263" t="s">
        <v>556</v>
      </c>
      <c r="BE43" s="261" t="s">
        <v>556</v>
      </c>
      <c r="BF43" s="259" t="s">
        <v>556</v>
      </c>
      <c r="BG43" s="256">
        <v>67.95580110497238</v>
      </c>
      <c r="BH43" s="248" t="s">
        <v>556</v>
      </c>
      <c r="BI43" s="249">
        <v>45.533141210374637</v>
      </c>
      <c r="BJ43" s="308" t="s">
        <v>556</v>
      </c>
      <c r="BK43" s="307" t="s">
        <v>750</v>
      </c>
      <c r="BL43" s="319" t="s">
        <v>1728</v>
      </c>
      <c r="BM43" s="320" t="s">
        <v>557</v>
      </c>
      <c r="BN43" s="321" t="s">
        <v>1957</v>
      </c>
      <c r="BO43" s="145" t="s">
        <v>557</v>
      </c>
      <c r="BP43" s="14" t="s">
        <v>557</v>
      </c>
      <c r="BQ43" s="14" t="s">
        <v>557</v>
      </c>
      <c r="BR43" s="72"/>
    </row>
    <row r="44" spans="1:70" s="56" customFormat="1" ht="13.95" customHeight="1" x14ac:dyDescent="0.3">
      <c r="A44" s="56" t="s">
        <v>459</v>
      </c>
      <c r="B44" s="57" t="s">
        <v>462</v>
      </c>
      <c r="C44" s="55" t="s">
        <v>127</v>
      </c>
      <c r="D44" s="58">
        <v>2</v>
      </c>
      <c r="E44" s="59" t="s">
        <v>503</v>
      </c>
      <c r="F44" s="60" t="s">
        <v>453</v>
      </c>
      <c r="G44" s="61" t="s">
        <v>113</v>
      </c>
      <c r="H44" s="61" t="s">
        <v>113</v>
      </c>
      <c r="I44" s="62" t="s">
        <v>113</v>
      </c>
      <c r="J44" s="63" t="s">
        <v>1785</v>
      </c>
      <c r="K44" s="99" t="s">
        <v>1784</v>
      </c>
      <c r="L44" s="130">
        <v>493594277</v>
      </c>
      <c r="M44" s="109" t="s">
        <v>537</v>
      </c>
      <c r="N44" s="12" t="s">
        <v>1029</v>
      </c>
      <c r="O44" s="99" t="s">
        <v>1030</v>
      </c>
      <c r="P44" s="131">
        <v>607969822</v>
      </c>
      <c r="Q44" s="67"/>
      <c r="R44" s="68"/>
      <c r="S44" s="99"/>
      <c r="T44" s="65"/>
      <c r="U44" s="170">
        <v>0</v>
      </c>
      <c r="V44" s="48">
        <f t="shared" si="2"/>
        <v>0</v>
      </c>
      <c r="W44" s="171">
        <f t="shared" si="3"/>
        <v>0</v>
      </c>
      <c r="X44" s="69">
        <v>0</v>
      </c>
      <c r="Y44" s="48">
        <f t="shared" si="4"/>
        <v>0</v>
      </c>
      <c r="Z44" s="137">
        <f t="shared" si="5"/>
        <v>0</v>
      </c>
      <c r="AA44" s="69">
        <v>0</v>
      </c>
      <c r="AB44" s="48">
        <f t="shared" si="6"/>
        <v>0</v>
      </c>
      <c r="AC44" s="137">
        <f t="shared" si="7"/>
        <v>0</v>
      </c>
      <c r="AD44" s="70">
        <f t="shared" si="8"/>
        <v>0</v>
      </c>
      <c r="AE44" s="71">
        <f t="shared" si="9"/>
        <v>0</v>
      </c>
      <c r="AF44" s="193">
        <f t="shared" si="10"/>
        <v>0</v>
      </c>
      <c r="AG44" s="185">
        <f t="shared" si="11"/>
        <v>0</v>
      </c>
      <c r="AH44" s="180">
        <f t="shared" si="16"/>
        <v>0</v>
      </c>
      <c r="AI44" s="189">
        <v>157</v>
      </c>
      <c r="AJ44" s="125">
        <v>503.2364</v>
      </c>
      <c r="AK44" s="149">
        <v>80</v>
      </c>
      <c r="AL44" s="221">
        <v>42</v>
      </c>
      <c r="AM44" s="216">
        <v>100</v>
      </c>
      <c r="AN44" s="213">
        <v>1.25</v>
      </c>
      <c r="AO44" s="127">
        <v>1.7</v>
      </c>
      <c r="AP44" s="133">
        <v>0.5</v>
      </c>
      <c r="AQ44" s="224">
        <f t="shared" si="13"/>
        <v>1.1544117647058822</v>
      </c>
      <c r="AR44" s="158">
        <v>136</v>
      </c>
      <c r="AS44" s="229">
        <f t="shared" si="14"/>
        <v>0.52508361204013376</v>
      </c>
      <c r="AT44" s="230">
        <v>299</v>
      </c>
      <c r="AU44" s="203">
        <v>18.471337579617835</v>
      </c>
      <c r="AV44" s="204">
        <v>65.605095541401269</v>
      </c>
      <c r="AW44" s="205">
        <v>15.923566878980891</v>
      </c>
      <c r="AX44" s="123">
        <v>4.0815999999999999</v>
      </c>
      <c r="AY44" s="281">
        <v>9.0909090909090917</v>
      </c>
      <c r="AZ44" s="282">
        <v>40.909090909090914</v>
      </c>
      <c r="BA44" s="283">
        <f t="shared" si="15"/>
        <v>49.999999999999993</v>
      </c>
      <c r="BB44" s="234">
        <v>60</v>
      </c>
      <c r="BC44" s="20">
        <v>2015</v>
      </c>
      <c r="BD44" s="264" t="s">
        <v>557</v>
      </c>
      <c r="BE44" s="262" t="s">
        <v>557</v>
      </c>
      <c r="BF44" s="260" t="s">
        <v>557</v>
      </c>
      <c r="BG44" s="256">
        <v>0</v>
      </c>
      <c r="BH44" s="248" t="s">
        <v>556</v>
      </c>
      <c r="BI44" s="249">
        <v>48.031496062992126</v>
      </c>
      <c r="BJ44" s="309" t="s">
        <v>557</v>
      </c>
      <c r="BK44" s="307" t="s">
        <v>557</v>
      </c>
      <c r="BL44" s="319" t="s">
        <v>1728</v>
      </c>
      <c r="BM44" s="320" t="s">
        <v>556</v>
      </c>
      <c r="BN44" s="321" t="s">
        <v>557</v>
      </c>
      <c r="BO44" s="145" t="s">
        <v>557</v>
      </c>
      <c r="BP44" s="14" t="s">
        <v>557</v>
      </c>
      <c r="BQ44" s="14" t="s">
        <v>557</v>
      </c>
    </row>
    <row r="45" spans="1:70" s="56" customFormat="1" ht="13.95" customHeight="1" x14ac:dyDescent="0.3">
      <c r="A45" s="3" t="s">
        <v>459</v>
      </c>
      <c r="B45" s="57" t="s">
        <v>462</v>
      </c>
      <c r="C45" s="55" t="s">
        <v>128</v>
      </c>
      <c r="D45" s="58">
        <v>1</v>
      </c>
      <c r="E45" s="59"/>
      <c r="F45" s="60" t="s">
        <v>453</v>
      </c>
      <c r="G45" s="61" t="s">
        <v>113</v>
      </c>
      <c r="H45" s="61" t="s">
        <v>113</v>
      </c>
      <c r="I45" s="62" t="s">
        <v>113</v>
      </c>
      <c r="J45" s="117" t="s">
        <v>1788</v>
      </c>
      <c r="K45" s="99" t="s">
        <v>2488</v>
      </c>
      <c r="L45" s="131">
        <v>493555442</v>
      </c>
      <c r="M45" s="109" t="s">
        <v>564</v>
      </c>
      <c r="N45" s="12" t="s">
        <v>1031</v>
      </c>
      <c r="O45" s="100"/>
      <c r="P45" s="131">
        <v>774341155</v>
      </c>
      <c r="Q45" s="67"/>
      <c r="R45" s="12"/>
      <c r="S45" s="100"/>
      <c r="T45" s="66"/>
      <c r="U45" s="170">
        <f>50000+141117</f>
        <v>191117</v>
      </c>
      <c r="V45" s="48">
        <f t="shared" si="2"/>
        <v>682.56071428571431</v>
      </c>
      <c r="W45" s="171">
        <f t="shared" si="3"/>
        <v>1146.3159207978752</v>
      </c>
      <c r="X45" s="69">
        <v>40000</v>
      </c>
      <c r="Y45" s="48">
        <f t="shared" si="4"/>
        <v>142.85714285714286</v>
      </c>
      <c r="Z45" s="137">
        <f t="shared" si="5"/>
        <v>239.91919521505156</v>
      </c>
      <c r="AA45" s="69">
        <v>0</v>
      </c>
      <c r="AB45" s="48">
        <f t="shared" si="6"/>
        <v>0</v>
      </c>
      <c r="AC45" s="137">
        <f t="shared" si="7"/>
        <v>0</v>
      </c>
      <c r="AD45" s="70">
        <f t="shared" si="8"/>
        <v>231117</v>
      </c>
      <c r="AE45" s="71">
        <f t="shared" si="9"/>
        <v>825.41785714285709</v>
      </c>
      <c r="AF45" s="193">
        <f t="shared" si="10"/>
        <v>1386.2351160129267</v>
      </c>
      <c r="AG45" s="185">
        <f t="shared" si="11"/>
        <v>2.4405174234424499E-2</v>
      </c>
      <c r="AH45" s="180">
        <f t="shared" si="16"/>
        <v>0.1686985401459854</v>
      </c>
      <c r="AI45" s="189">
        <v>280</v>
      </c>
      <c r="AJ45" s="125">
        <v>166.72280000000001</v>
      </c>
      <c r="AK45" s="149">
        <v>91</v>
      </c>
      <c r="AL45" s="221">
        <v>55</v>
      </c>
      <c r="AM45" s="216">
        <v>63.73626373626373</v>
      </c>
      <c r="AN45" s="213">
        <v>2.5423728813559325</v>
      </c>
      <c r="AO45" s="127">
        <v>1.8939999999999999</v>
      </c>
      <c r="AP45" s="133">
        <v>0.27400000000000002</v>
      </c>
      <c r="AQ45" s="224">
        <f t="shared" si="13"/>
        <v>3.8356164383561642</v>
      </c>
      <c r="AR45" s="158">
        <v>73</v>
      </c>
      <c r="AS45" s="229">
        <f t="shared" si="14"/>
        <v>1.3592233009708738</v>
      </c>
      <c r="AT45" s="230">
        <v>206</v>
      </c>
      <c r="AU45" s="203">
        <v>22.5</v>
      </c>
      <c r="AV45" s="204">
        <v>66.428571428571431</v>
      </c>
      <c r="AW45" s="205">
        <v>11.071428571428571</v>
      </c>
      <c r="AX45" s="123">
        <v>3.3519999999999999</v>
      </c>
      <c r="AY45" s="281">
        <v>4.6296296296296298</v>
      </c>
      <c r="AZ45" s="282">
        <v>33.333333333333329</v>
      </c>
      <c r="BA45" s="283">
        <f t="shared" si="15"/>
        <v>62.037037037037038</v>
      </c>
      <c r="BB45" s="234">
        <v>88.888888888888886</v>
      </c>
      <c r="BC45" s="243">
        <v>2017</v>
      </c>
      <c r="BD45" s="263" t="s">
        <v>556</v>
      </c>
      <c r="BE45" s="261" t="s">
        <v>556</v>
      </c>
      <c r="BF45" s="260" t="s">
        <v>557</v>
      </c>
      <c r="BG45" s="256">
        <v>35.652173913043477</v>
      </c>
      <c r="BH45" s="248" t="s">
        <v>556</v>
      </c>
      <c r="BI45" s="249">
        <v>58.149779735682813</v>
      </c>
      <c r="BJ45" s="309" t="s">
        <v>557</v>
      </c>
      <c r="BK45" s="307" t="s">
        <v>557</v>
      </c>
      <c r="BL45" s="319" t="s">
        <v>1728</v>
      </c>
      <c r="BM45" s="320" t="s">
        <v>557</v>
      </c>
      <c r="BN45" s="321" t="s">
        <v>557</v>
      </c>
      <c r="BO45" s="21" t="s">
        <v>557</v>
      </c>
      <c r="BP45" s="10" t="s">
        <v>557</v>
      </c>
      <c r="BQ45" s="10" t="s">
        <v>556</v>
      </c>
      <c r="BR45" s="3"/>
    </row>
    <row r="46" spans="1:70" s="56" customFormat="1" ht="13.95" customHeight="1" x14ac:dyDescent="0.3">
      <c r="A46" s="56" t="s">
        <v>459</v>
      </c>
      <c r="B46" s="57" t="s">
        <v>462</v>
      </c>
      <c r="C46" s="55" t="s">
        <v>312</v>
      </c>
      <c r="D46" s="58">
        <v>1</v>
      </c>
      <c r="E46" s="59"/>
      <c r="F46" s="60" t="s">
        <v>455</v>
      </c>
      <c r="G46" s="61" t="s">
        <v>304</v>
      </c>
      <c r="H46" s="61" t="s">
        <v>304</v>
      </c>
      <c r="I46" s="62" t="s">
        <v>304</v>
      </c>
      <c r="J46" s="63" t="s">
        <v>1786</v>
      </c>
      <c r="K46" s="99" t="s">
        <v>1407</v>
      </c>
      <c r="L46" s="130">
        <v>494665121</v>
      </c>
      <c r="M46" s="109" t="s">
        <v>564</v>
      </c>
      <c r="N46" s="12" t="s">
        <v>1406</v>
      </c>
      <c r="O46" s="100"/>
      <c r="P46" s="131">
        <v>724181348</v>
      </c>
      <c r="Q46" s="67"/>
      <c r="R46" s="68"/>
      <c r="S46" s="99"/>
      <c r="T46" s="112"/>
      <c r="U46" s="170">
        <f>127000+57000+23387</f>
        <v>207387</v>
      </c>
      <c r="V46" s="48">
        <f t="shared" si="2"/>
        <v>806.95330739299607</v>
      </c>
      <c r="W46" s="171">
        <f t="shared" si="3"/>
        <v>631.07704582655128</v>
      </c>
      <c r="X46" s="69">
        <v>0</v>
      </c>
      <c r="Y46" s="48">
        <f t="shared" si="4"/>
        <v>0</v>
      </c>
      <c r="Z46" s="137">
        <f t="shared" si="5"/>
        <v>0</v>
      </c>
      <c r="AA46" s="69">
        <v>0</v>
      </c>
      <c r="AB46" s="48">
        <f t="shared" si="6"/>
        <v>0</v>
      </c>
      <c r="AC46" s="137">
        <f t="shared" si="7"/>
        <v>0</v>
      </c>
      <c r="AD46" s="70">
        <f t="shared" si="8"/>
        <v>207387</v>
      </c>
      <c r="AE46" s="71">
        <f t="shared" si="9"/>
        <v>806.95330739299607</v>
      </c>
      <c r="AF46" s="193">
        <f t="shared" si="10"/>
        <v>631.07704582655128</v>
      </c>
      <c r="AG46" s="185">
        <f t="shared" si="11"/>
        <v>1.2163460410557185E-2</v>
      </c>
      <c r="AH46" s="180">
        <f t="shared" si="16"/>
        <v>6.7007108239095323E-2</v>
      </c>
      <c r="AI46" s="189">
        <v>257</v>
      </c>
      <c r="AJ46" s="125">
        <v>328.62389999999999</v>
      </c>
      <c r="AK46" s="149">
        <v>150</v>
      </c>
      <c r="AL46" s="221">
        <v>72</v>
      </c>
      <c r="AM46" s="216">
        <v>79.166666666666657</v>
      </c>
      <c r="AN46" s="213">
        <v>25.170068027210885</v>
      </c>
      <c r="AO46" s="127">
        <v>3.41</v>
      </c>
      <c r="AP46" s="133">
        <v>0.61899999999999999</v>
      </c>
      <c r="AQ46" s="224">
        <f t="shared" si="13"/>
        <v>1.1125541125541125</v>
      </c>
      <c r="AR46" s="158">
        <v>231</v>
      </c>
      <c r="AS46" s="229">
        <f t="shared" si="14"/>
        <v>0.52342158859470467</v>
      </c>
      <c r="AT46" s="230">
        <v>491</v>
      </c>
      <c r="AU46" s="203">
        <v>17.120622568093385</v>
      </c>
      <c r="AV46" s="204">
        <v>62.645914396887164</v>
      </c>
      <c r="AW46" s="205">
        <v>20.233463035019454</v>
      </c>
      <c r="AX46" s="123">
        <v>0.62890000000000001</v>
      </c>
      <c r="AY46" s="281">
        <v>6.6037735849056602</v>
      </c>
      <c r="AZ46" s="282">
        <v>37.735849056603776</v>
      </c>
      <c r="BA46" s="283">
        <f t="shared" si="15"/>
        <v>55.660377358490557</v>
      </c>
      <c r="BB46" s="234">
        <v>95.833333333333343</v>
      </c>
      <c r="BC46" s="20">
        <v>1998</v>
      </c>
      <c r="BD46" s="263" t="s">
        <v>556</v>
      </c>
      <c r="BE46" s="261" t="s">
        <v>556</v>
      </c>
      <c r="BF46" s="260" t="s">
        <v>557</v>
      </c>
      <c r="BG46" s="256">
        <v>29.032258064516132</v>
      </c>
      <c r="BH46" s="254" t="s">
        <v>557</v>
      </c>
      <c r="BI46" s="249">
        <v>0</v>
      </c>
      <c r="BJ46" s="308" t="s">
        <v>556</v>
      </c>
      <c r="BK46" s="307" t="s">
        <v>557</v>
      </c>
      <c r="BL46" s="319" t="s">
        <v>1728</v>
      </c>
      <c r="BM46" s="320" t="s">
        <v>556</v>
      </c>
      <c r="BN46" s="321" t="s">
        <v>1789</v>
      </c>
      <c r="BO46" s="145" t="s">
        <v>556</v>
      </c>
      <c r="BP46" s="14" t="s">
        <v>556</v>
      </c>
      <c r="BQ46" s="14" t="s">
        <v>557</v>
      </c>
    </row>
    <row r="47" spans="1:70" s="72" customFormat="1" ht="13.95" customHeight="1" x14ac:dyDescent="0.3">
      <c r="A47" s="56" t="s">
        <v>459</v>
      </c>
      <c r="B47" s="57" t="s">
        <v>462</v>
      </c>
      <c r="C47" s="55" t="s">
        <v>129</v>
      </c>
      <c r="D47" s="58">
        <v>2</v>
      </c>
      <c r="E47" s="59" t="s">
        <v>504</v>
      </c>
      <c r="F47" s="60" t="s">
        <v>453</v>
      </c>
      <c r="G47" s="61" t="s">
        <v>113</v>
      </c>
      <c r="H47" s="61" t="s">
        <v>114</v>
      </c>
      <c r="I47" s="62" t="s">
        <v>115</v>
      </c>
      <c r="J47" s="63" t="s">
        <v>1790</v>
      </c>
      <c r="K47" s="99" t="s">
        <v>1033</v>
      </c>
      <c r="L47" s="130">
        <v>493598639</v>
      </c>
      <c r="M47" s="109" t="s">
        <v>537</v>
      </c>
      <c r="N47" s="12" t="s">
        <v>1032</v>
      </c>
      <c r="O47" s="100"/>
      <c r="P47" s="131">
        <v>606221814</v>
      </c>
      <c r="Q47" s="67"/>
      <c r="R47" s="68"/>
      <c r="S47" s="99"/>
      <c r="T47" s="65"/>
      <c r="U47" s="170">
        <f>314943+374460</f>
        <v>689403</v>
      </c>
      <c r="V47" s="48">
        <f t="shared" si="2"/>
        <v>2064.0808383233534</v>
      </c>
      <c r="W47" s="171">
        <f t="shared" si="3"/>
        <v>982.3385026285348</v>
      </c>
      <c r="X47" s="69">
        <v>70000</v>
      </c>
      <c r="Y47" s="48">
        <f t="shared" si="4"/>
        <v>209.5808383233533</v>
      </c>
      <c r="Z47" s="137">
        <f t="shared" si="5"/>
        <v>99.743829347997377</v>
      </c>
      <c r="AA47" s="69">
        <v>0</v>
      </c>
      <c r="AB47" s="48">
        <f t="shared" si="6"/>
        <v>0</v>
      </c>
      <c r="AC47" s="137">
        <f t="shared" si="7"/>
        <v>0</v>
      </c>
      <c r="AD47" s="70">
        <f t="shared" si="8"/>
        <v>759403</v>
      </c>
      <c r="AE47" s="71">
        <f t="shared" si="9"/>
        <v>2273.6616766467064</v>
      </c>
      <c r="AF47" s="193">
        <f t="shared" si="10"/>
        <v>1082.0823319765323</v>
      </c>
      <c r="AG47" s="185">
        <f t="shared" si="11"/>
        <v>3.091402401791166E-2</v>
      </c>
      <c r="AH47" s="180">
        <f t="shared" si="16"/>
        <v>0.10598785764131192</v>
      </c>
      <c r="AI47" s="189">
        <v>334</v>
      </c>
      <c r="AJ47" s="125">
        <v>701.79780000000005</v>
      </c>
      <c r="AK47" s="149">
        <v>149</v>
      </c>
      <c r="AL47" s="221">
        <v>86</v>
      </c>
      <c r="AM47" s="216">
        <v>84.112149532710276</v>
      </c>
      <c r="AN47" s="213">
        <v>13.414634146341465</v>
      </c>
      <c r="AO47" s="127">
        <v>4.9130000000000003</v>
      </c>
      <c r="AP47" s="133">
        <v>1.4330000000000001</v>
      </c>
      <c r="AQ47" s="224">
        <f t="shared" si="13"/>
        <v>1.050314465408805</v>
      </c>
      <c r="AR47" s="158">
        <v>318</v>
      </c>
      <c r="AS47" s="229">
        <f t="shared" si="14"/>
        <v>0.5808695652173913</v>
      </c>
      <c r="AT47" s="230">
        <v>575</v>
      </c>
      <c r="AU47" s="203">
        <v>14.37125748502994</v>
      </c>
      <c r="AV47" s="204">
        <v>72.155688622754482</v>
      </c>
      <c r="AW47" s="205">
        <v>13.473053892215569</v>
      </c>
      <c r="AX47" s="123">
        <v>2.008</v>
      </c>
      <c r="AY47" s="281">
        <v>16.556291390728479</v>
      </c>
      <c r="AZ47" s="282">
        <v>40.397350993377486</v>
      </c>
      <c r="BA47" s="283">
        <f t="shared" si="15"/>
        <v>43.046357615894038</v>
      </c>
      <c r="BB47" s="234">
        <v>71.604938271604937</v>
      </c>
      <c r="BC47" s="20">
        <v>2017</v>
      </c>
      <c r="BD47" s="263" t="s">
        <v>556</v>
      </c>
      <c r="BE47" s="261" t="s">
        <v>556</v>
      </c>
      <c r="BF47" s="260" t="s">
        <v>557</v>
      </c>
      <c r="BG47" s="256">
        <v>31.528662420382165</v>
      </c>
      <c r="BH47" s="248" t="s">
        <v>556</v>
      </c>
      <c r="BI47" s="249">
        <v>27</v>
      </c>
      <c r="BJ47" s="308" t="s">
        <v>556</v>
      </c>
      <c r="BK47" s="307" t="s">
        <v>557</v>
      </c>
      <c r="BL47" s="319" t="s">
        <v>1728</v>
      </c>
      <c r="BM47" s="320" t="s">
        <v>556</v>
      </c>
      <c r="BN47" s="321" t="s">
        <v>1791</v>
      </c>
      <c r="BO47" s="145" t="s">
        <v>557</v>
      </c>
      <c r="BP47" s="14" t="s">
        <v>556</v>
      </c>
      <c r="BQ47" s="14" t="s">
        <v>557</v>
      </c>
      <c r="BR47" s="56"/>
    </row>
    <row r="48" spans="1:70" s="56" customFormat="1" ht="13.95" customHeight="1" x14ac:dyDescent="0.3">
      <c r="A48" s="56" t="s">
        <v>459</v>
      </c>
      <c r="B48" s="57" t="s">
        <v>462</v>
      </c>
      <c r="C48" s="55" t="s">
        <v>313</v>
      </c>
      <c r="D48" s="58">
        <v>1</v>
      </c>
      <c r="E48" s="59"/>
      <c r="F48" s="60" t="s">
        <v>455</v>
      </c>
      <c r="G48" s="61" t="s">
        <v>528</v>
      </c>
      <c r="H48" s="61" t="s">
        <v>528</v>
      </c>
      <c r="I48" s="62" t="s">
        <v>528</v>
      </c>
      <c r="J48" s="63" t="s">
        <v>1793</v>
      </c>
      <c r="K48" s="99" t="s">
        <v>1409</v>
      </c>
      <c r="L48" s="130">
        <v>494662110</v>
      </c>
      <c r="M48" s="109" t="s">
        <v>564</v>
      </c>
      <c r="N48" s="12" t="s">
        <v>1408</v>
      </c>
      <c r="O48" s="100"/>
      <c r="P48" s="131">
        <v>605837925</v>
      </c>
      <c r="Q48" s="67"/>
      <c r="R48" s="68"/>
      <c r="S48" s="99"/>
      <c r="T48" s="112"/>
      <c r="U48" s="170">
        <v>0</v>
      </c>
      <c r="V48" s="48">
        <f t="shared" si="2"/>
        <v>0</v>
      </c>
      <c r="W48" s="171">
        <f t="shared" si="3"/>
        <v>0</v>
      </c>
      <c r="X48" s="69">
        <v>62000</v>
      </c>
      <c r="Y48" s="48">
        <f t="shared" si="4"/>
        <v>298.07692307692309</v>
      </c>
      <c r="Z48" s="137">
        <f t="shared" si="5"/>
        <v>116.49915528717325</v>
      </c>
      <c r="AA48" s="69">
        <v>0</v>
      </c>
      <c r="AB48" s="48">
        <f t="shared" si="6"/>
        <v>0</v>
      </c>
      <c r="AC48" s="137">
        <f t="shared" si="7"/>
        <v>0</v>
      </c>
      <c r="AD48" s="70">
        <f t="shared" si="8"/>
        <v>62000</v>
      </c>
      <c r="AE48" s="71">
        <f t="shared" si="9"/>
        <v>298.07692307692309</v>
      </c>
      <c r="AF48" s="193">
        <f t="shared" si="10"/>
        <v>116.49915528717325</v>
      </c>
      <c r="AG48" s="185">
        <f t="shared" si="11"/>
        <v>7.0056497175141237E-3</v>
      </c>
      <c r="AH48" s="180">
        <f t="shared" si="16"/>
        <v>4.275862068965517E-2</v>
      </c>
      <c r="AI48" s="189">
        <v>208</v>
      </c>
      <c r="AJ48" s="125">
        <v>532.19269999999995</v>
      </c>
      <c r="AK48" s="149">
        <v>98</v>
      </c>
      <c r="AL48" s="221">
        <v>62</v>
      </c>
      <c r="AM48" s="216">
        <v>100</v>
      </c>
      <c r="AN48" s="213">
        <v>5.8823529411764701</v>
      </c>
      <c r="AO48" s="127">
        <v>1.77</v>
      </c>
      <c r="AP48" s="133">
        <v>0.28999999999999998</v>
      </c>
      <c r="AQ48" s="224">
        <f t="shared" si="13"/>
        <v>0.86307053941908718</v>
      </c>
      <c r="AR48" s="158">
        <v>241</v>
      </c>
      <c r="AS48" s="229">
        <f t="shared" si="14"/>
        <v>0.62089552238805967</v>
      </c>
      <c r="AT48" s="230">
        <v>335</v>
      </c>
      <c r="AU48" s="203">
        <v>15.384615384615385</v>
      </c>
      <c r="AV48" s="204">
        <v>68.75</v>
      </c>
      <c r="AW48" s="205">
        <v>15.865384615384615</v>
      </c>
      <c r="AX48" s="123">
        <v>2.0832999999999999</v>
      </c>
      <c r="AY48" s="281">
        <v>9.7087378640776691</v>
      </c>
      <c r="AZ48" s="282">
        <v>43.689320388349515</v>
      </c>
      <c r="BA48" s="283">
        <f t="shared" si="15"/>
        <v>46.601941747572809</v>
      </c>
      <c r="BB48" s="234">
        <v>95.833333333333343</v>
      </c>
      <c r="BC48" s="20">
        <v>2017</v>
      </c>
      <c r="BD48" s="263" t="s">
        <v>556</v>
      </c>
      <c r="BE48" s="261" t="s">
        <v>556</v>
      </c>
      <c r="BF48" s="259" t="s">
        <v>556</v>
      </c>
      <c r="BG48" s="256">
        <v>21.875</v>
      </c>
      <c r="BH48" s="254" t="s">
        <v>557</v>
      </c>
      <c r="BI48" s="249">
        <v>0</v>
      </c>
      <c r="BJ48" s="309" t="s">
        <v>557</v>
      </c>
      <c r="BK48" s="307" t="s">
        <v>557</v>
      </c>
      <c r="BL48" s="319" t="s">
        <v>1728</v>
      </c>
      <c r="BM48" s="320" t="s">
        <v>556</v>
      </c>
      <c r="BN48" s="321" t="s">
        <v>1733</v>
      </c>
      <c r="BO48" s="145" t="s">
        <v>557</v>
      </c>
      <c r="BP48" s="14" t="s">
        <v>557</v>
      </c>
      <c r="BQ48" s="14" t="s">
        <v>557</v>
      </c>
    </row>
    <row r="49" spans="1:70" s="56" customFormat="1" ht="13.95" customHeight="1" x14ac:dyDescent="0.3">
      <c r="A49" s="56" t="s">
        <v>459</v>
      </c>
      <c r="B49" s="57" t="s">
        <v>462</v>
      </c>
      <c r="C49" s="55" t="s">
        <v>130</v>
      </c>
      <c r="D49" s="58">
        <v>3</v>
      </c>
      <c r="E49" s="59" t="s">
        <v>505</v>
      </c>
      <c r="F49" s="60" t="s">
        <v>453</v>
      </c>
      <c r="G49" s="61" t="s">
        <v>117</v>
      </c>
      <c r="H49" s="61" t="s">
        <v>117</v>
      </c>
      <c r="I49" s="62" t="s">
        <v>117</v>
      </c>
      <c r="J49" s="63" t="s">
        <v>1795</v>
      </c>
      <c r="K49" s="99" t="s">
        <v>1794</v>
      </c>
      <c r="L49" s="130">
        <v>493696195</v>
      </c>
      <c r="M49" s="109" t="s">
        <v>564</v>
      </c>
      <c r="N49" s="12" t="s">
        <v>1035</v>
      </c>
      <c r="O49" s="100" t="s">
        <v>1034</v>
      </c>
      <c r="P49" s="131">
        <v>493696025</v>
      </c>
      <c r="Q49" s="67"/>
      <c r="R49" s="68"/>
      <c r="S49" s="99"/>
      <c r="T49" s="65"/>
      <c r="U49" s="170">
        <f>333000+400000</f>
        <v>733000</v>
      </c>
      <c r="V49" s="48">
        <f t="shared" si="2"/>
        <v>939.74358974358972</v>
      </c>
      <c r="W49" s="171">
        <f t="shared" si="3"/>
        <v>884.13661104767891</v>
      </c>
      <c r="X49" s="69">
        <v>277584</v>
      </c>
      <c r="Y49" s="48">
        <f t="shared" si="4"/>
        <v>355.87692307692305</v>
      </c>
      <c r="Z49" s="137">
        <f t="shared" si="5"/>
        <v>334.81879541754284</v>
      </c>
      <c r="AA49" s="69">
        <v>0</v>
      </c>
      <c r="AB49" s="48">
        <f t="shared" si="6"/>
        <v>0</v>
      </c>
      <c r="AC49" s="137">
        <f t="shared" si="7"/>
        <v>0</v>
      </c>
      <c r="AD49" s="70">
        <f t="shared" si="8"/>
        <v>1010584</v>
      </c>
      <c r="AE49" s="71">
        <f t="shared" si="9"/>
        <v>1295.6205128205129</v>
      </c>
      <c r="AF49" s="193">
        <f t="shared" si="10"/>
        <v>1218.9554064652218</v>
      </c>
      <c r="AG49" s="185">
        <f t="shared" si="11"/>
        <v>1.722341712824883E-2</v>
      </c>
      <c r="AH49" s="180">
        <f t="shared" si="16"/>
        <v>7.0893300596282002E-2</v>
      </c>
      <c r="AI49" s="189">
        <v>780</v>
      </c>
      <c r="AJ49" s="125">
        <v>829.05740000000003</v>
      </c>
      <c r="AK49" s="149">
        <v>281</v>
      </c>
      <c r="AL49" s="221">
        <v>189</v>
      </c>
      <c r="AM49" s="216">
        <v>69.85294117647058</v>
      </c>
      <c r="AN49" s="213">
        <v>14.681440443213297</v>
      </c>
      <c r="AO49" s="127">
        <v>11.734999999999999</v>
      </c>
      <c r="AP49" s="133">
        <v>2.851</v>
      </c>
      <c r="AQ49" s="224">
        <f t="shared" si="13"/>
        <v>1.4444444444444444</v>
      </c>
      <c r="AR49" s="158">
        <v>540</v>
      </c>
      <c r="AS49" s="229">
        <f t="shared" si="14"/>
        <v>0.81589958158995812</v>
      </c>
      <c r="AT49" s="230">
        <v>956</v>
      </c>
      <c r="AU49" s="203">
        <v>16.666666666666664</v>
      </c>
      <c r="AV49" s="204">
        <v>68.333333333333343</v>
      </c>
      <c r="AW49" s="205">
        <v>15</v>
      </c>
      <c r="AX49" s="123">
        <v>5.1756000000000002</v>
      </c>
      <c r="AY49" s="281">
        <v>4.5901639344262293</v>
      </c>
      <c r="AZ49" s="282">
        <v>31.147540983606557</v>
      </c>
      <c r="BA49" s="283">
        <f t="shared" si="15"/>
        <v>64.26229508196721</v>
      </c>
      <c r="BB49" s="234">
        <v>69.135802469135797</v>
      </c>
      <c r="BC49" s="20">
        <v>2017</v>
      </c>
      <c r="BD49" s="263" t="s">
        <v>556</v>
      </c>
      <c r="BE49" s="261" t="s">
        <v>556</v>
      </c>
      <c r="BF49" s="259" t="s">
        <v>556</v>
      </c>
      <c r="BG49" s="256">
        <v>60.422163588390497</v>
      </c>
      <c r="BH49" s="248" t="s">
        <v>556</v>
      </c>
      <c r="BI49" s="249">
        <v>64.48863636363636</v>
      </c>
      <c r="BJ49" s="308" t="s">
        <v>556</v>
      </c>
      <c r="BK49" s="307" t="s">
        <v>556</v>
      </c>
      <c r="BL49" s="319" t="s">
        <v>1777</v>
      </c>
      <c r="BM49" s="320" t="s">
        <v>556</v>
      </c>
      <c r="BN49" s="321" t="s">
        <v>1789</v>
      </c>
      <c r="BO49" s="145" t="s">
        <v>556</v>
      </c>
      <c r="BP49" s="14" t="s">
        <v>556</v>
      </c>
      <c r="BQ49" s="14" t="s">
        <v>556</v>
      </c>
    </row>
    <row r="50" spans="1:70" s="72" customFormat="1" ht="13.95" customHeight="1" x14ac:dyDescent="0.3">
      <c r="A50" s="56" t="s">
        <v>459</v>
      </c>
      <c r="B50" s="57" t="s">
        <v>463</v>
      </c>
      <c r="C50" s="55" t="s">
        <v>314</v>
      </c>
      <c r="D50" s="58">
        <v>1</v>
      </c>
      <c r="E50" s="59"/>
      <c r="F50" s="60" t="s">
        <v>455</v>
      </c>
      <c r="G50" s="61" t="s">
        <v>529</v>
      </c>
      <c r="H50" s="61" t="s">
        <v>529</v>
      </c>
      <c r="I50" s="62" t="s">
        <v>529</v>
      </c>
      <c r="J50" s="63" t="s">
        <v>1797</v>
      </c>
      <c r="K50" s="99" t="s">
        <v>1796</v>
      </c>
      <c r="L50" s="130">
        <v>494320108</v>
      </c>
      <c r="M50" s="109" t="s">
        <v>564</v>
      </c>
      <c r="N50" s="12" t="s">
        <v>1410</v>
      </c>
      <c r="O50" s="100" t="s">
        <v>1411</v>
      </c>
      <c r="P50" s="131">
        <v>736761998</v>
      </c>
      <c r="Q50" s="67"/>
      <c r="R50" s="68"/>
      <c r="S50" s="99"/>
      <c r="T50" s="112"/>
      <c r="U50" s="170">
        <v>0</v>
      </c>
      <c r="V50" s="48">
        <f t="shared" si="2"/>
        <v>0</v>
      </c>
      <c r="W50" s="171">
        <f t="shared" si="3"/>
        <v>0</v>
      </c>
      <c r="X50" s="69">
        <v>28600</v>
      </c>
      <c r="Y50" s="48">
        <f t="shared" si="4"/>
        <v>16.993464052287582</v>
      </c>
      <c r="Z50" s="137">
        <f t="shared" si="5"/>
        <v>50.939023495357425</v>
      </c>
      <c r="AA50" s="69">
        <v>0</v>
      </c>
      <c r="AB50" s="48">
        <f t="shared" si="6"/>
        <v>0</v>
      </c>
      <c r="AC50" s="137">
        <f t="shared" si="7"/>
        <v>0</v>
      </c>
      <c r="AD50" s="70">
        <f t="shared" si="8"/>
        <v>28600</v>
      </c>
      <c r="AE50" s="71">
        <f t="shared" si="9"/>
        <v>16.993464052287582</v>
      </c>
      <c r="AF50" s="193">
        <f t="shared" si="10"/>
        <v>50.939023495357425</v>
      </c>
      <c r="AG50" s="185">
        <f t="shared" si="11"/>
        <v>2.3981217507965788E-4</v>
      </c>
      <c r="AH50" s="180">
        <f t="shared" si="16"/>
        <v>6.874173777190242E-4</v>
      </c>
      <c r="AI50" s="189">
        <v>1683</v>
      </c>
      <c r="AJ50" s="125">
        <v>561.4556</v>
      </c>
      <c r="AK50" s="149">
        <v>484</v>
      </c>
      <c r="AL50" s="221">
        <v>378</v>
      </c>
      <c r="AM50" s="216">
        <v>64.090177133655388</v>
      </c>
      <c r="AN50" s="213">
        <v>1.751824817518248</v>
      </c>
      <c r="AO50" s="127">
        <v>23.852</v>
      </c>
      <c r="AP50" s="133">
        <v>8.3209999999999997</v>
      </c>
      <c r="AQ50" s="224">
        <f t="shared" si="13"/>
        <v>1.170375521557719</v>
      </c>
      <c r="AR50" s="158">
        <v>1438</v>
      </c>
      <c r="AS50" s="229">
        <f t="shared" si="14"/>
        <v>1.1495901639344261</v>
      </c>
      <c r="AT50" s="230">
        <v>1464</v>
      </c>
      <c r="AU50" s="203">
        <v>17.171717171717169</v>
      </c>
      <c r="AV50" s="204">
        <v>66.369578134284012</v>
      </c>
      <c r="AW50" s="205">
        <v>16.458704693998811</v>
      </c>
      <c r="AX50" s="123">
        <v>2.0335999999999999</v>
      </c>
      <c r="AY50" s="281">
        <v>1.0139416983523446</v>
      </c>
      <c r="AZ50" s="282">
        <v>44.9936628643853</v>
      </c>
      <c r="BA50" s="283">
        <f t="shared" si="15"/>
        <v>53.99239543726236</v>
      </c>
      <c r="BB50" s="234">
        <v>58.984375</v>
      </c>
      <c r="BC50" s="332">
        <v>2005</v>
      </c>
      <c r="BD50" s="263" t="s">
        <v>556</v>
      </c>
      <c r="BE50" s="261" t="s">
        <v>556</v>
      </c>
      <c r="BF50" s="259" t="s">
        <v>556</v>
      </c>
      <c r="BG50" s="256">
        <v>90.764525993883794</v>
      </c>
      <c r="BH50" s="248" t="s">
        <v>556</v>
      </c>
      <c r="BI50" s="249">
        <v>67.0096463022508</v>
      </c>
      <c r="BJ50" s="308" t="s">
        <v>556</v>
      </c>
      <c r="BK50" s="307" t="s">
        <v>556</v>
      </c>
      <c r="BL50" s="319" t="s">
        <v>1728</v>
      </c>
      <c r="BM50" s="320" t="s">
        <v>556</v>
      </c>
      <c r="BN50" s="321" t="s">
        <v>1799</v>
      </c>
      <c r="BO50" s="145" t="s">
        <v>556</v>
      </c>
      <c r="BP50" s="14" t="s">
        <v>556</v>
      </c>
      <c r="BQ50" s="14" t="s">
        <v>556</v>
      </c>
      <c r="BR50" s="56"/>
    </row>
    <row r="51" spans="1:70" s="56" customFormat="1" ht="13.95" customHeight="1" x14ac:dyDescent="0.3">
      <c r="A51" s="56" t="s">
        <v>459</v>
      </c>
      <c r="B51" s="57" t="s">
        <v>462</v>
      </c>
      <c r="C51" s="55" t="s">
        <v>388</v>
      </c>
      <c r="D51" s="58">
        <v>1</v>
      </c>
      <c r="E51" s="59"/>
      <c r="F51" s="60" t="s">
        <v>456</v>
      </c>
      <c r="G51" s="61" t="s">
        <v>389</v>
      </c>
      <c r="H51" s="61" t="s">
        <v>390</v>
      </c>
      <c r="I51" s="62" t="s">
        <v>390</v>
      </c>
      <c r="J51" s="63" t="s">
        <v>1800</v>
      </c>
      <c r="K51" s="99" t="s">
        <v>1549</v>
      </c>
      <c r="L51" s="130">
        <v>499441145</v>
      </c>
      <c r="M51" s="109" t="s">
        <v>564</v>
      </c>
      <c r="N51" s="12" t="s">
        <v>1548</v>
      </c>
      <c r="O51" s="100"/>
      <c r="P51" s="131">
        <v>602936559</v>
      </c>
      <c r="Q51" s="84"/>
      <c r="S51" s="105"/>
      <c r="T51" s="112"/>
      <c r="U51" s="170">
        <f>250000+200708</f>
        <v>450708</v>
      </c>
      <c r="V51" s="48">
        <f t="shared" si="2"/>
        <v>1129.593984962406</v>
      </c>
      <c r="W51" s="171">
        <f t="shared" si="3"/>
        <v>484.93802974262485</v>
      </c>
      <c r="X51" s="69">
        <v>0</v>
      </c>
      <c r="Y51" s="48">
        <f t="shared" si="4"/>
        <v>0</v>
      </c>
      <c r="Z51" s="137">
        <f t="shared" si="5"/>
        <v>0</v>
      </c>
      <c r="AA51" s="69">
        <v>0</v>
      </c>
      <c r="AB51" s="48">
        <f t="shared" si="6"/>
        <v>0</v>
      </c>
      <c r="AC51" s="137">
        <f t="shared" si="7"/>
        <v>0</v>
      </c>
      <c r="AD51" s="70">
        <f t="shared" si="8"/>
        <v>450708</v>
      </c>
      <c r="AE51" s="71">
        <f t="shared" si="9"/>
        <v>1129.593984962406</v>
      </c>
      <c r="AF51" s="193">
        <f t="shared" si="10"/>
        <v>484.93802974262485</v>
      </c>
      <c r="AG51" s="185">
        <f t="shared" si="11"/>
        <v>1.9154611134721628E-2</v>
      </c>
      <c r="AH51" s="180">
        <f t="shared" si="16"/>
        <v>0.41926325581395346</v>
      </c>
      <c r="AI51" s="189">
        <v>399</v>
      </c>
      <c r="AJ51" s="125">
        <v>929.41359999999997</v>
      </c>
      <c r="AK51" s="149">
        <v>180</v>
      </c>
      <c r="AL51" s="221">
        <v>116</v>
      </c>
      <c r="AM51" s="216">
        <v>90.225563909774436</v>
      </c>
      <c r="AN51" s="213">
        <v>9.0909090909090917</v>
      </c>
      <c r="AO51" s="127">
        <v>4.7060000000000004</v>
      </c>
      <c r="AP51" s="133">
        <v>0.215</v>
      </c>
      <c r="AQ51" s="224">
        <f t="shared" si="13"/>
        <v>1.1176470588235294</v>
      </c>
      <c r="AR51" s="158">
        <v>357</v>
      </c>
      <c r="AS51" s="229">
        <f t="shared" si="14"/>
        <v>0.38439306358381503</v>
      </c>
      <c r="AT51" s="230">
        <v>1038</v>
      </c>
      <c r="AU51" s="203">
        <v>16.541353383458645</v>
      </c>
      <c r="AV51" s="204">
        <v>66.416040100250626</v>
      </c>
      <c r="AW51" s="205">
        <v>17.042606516290725</v>
      </c>
      <c r="AX51" s="123">
        <v>3.0074999999999998</v>
      </c>
      <c r="AY51" s="281">
        <v>3.3783783783783785</v>
      </c>
      <c r="AZ51" s="282">
        <v>46.621621621621621</v>
      </c>
      <c r="BA51" s="283">
        <f t="shared" si="15"/>
        <v>50.000000000000007</v>
      </c>
      <c r="BB51" s="234">
        <v>94.736842105263165</v>
      </c>
      <c r="BC51" s="120">
        <v>2017</v>
      </c>
      <c r="BD51" s="263" t="s">
        <v>556</v>
      </c>
      <c r="BE51" s="261" t="s">
        <v>556</v>
      </c>
      <c r="BF51" s="259" t="s">
        <v>556</v>
      </c>
      <c r="BG51" s="256">
        <v>49.051490514905147</v>
      </c>
      <c r="BH51" s="248" t="s">
        <v>556</v>
      </c>
      <c r="BI51" s="249">
        <v>42.363112391930834</v>
      </c>
      <c r="BJ51" s="309" t="s">
        <v>557</v>
      </c>
      <c r="BK51" s="307" t="s">
        <v>557</v>
      </c>
      <c r="BL51" s="319" t="s">
        <v>1728</v>
      </c>
      <c r="BM51" s="320" t="s">
        <v>557</v>
      </c>
      <c r="BN51" s="321" t="s">
        <v>2485</v>
      </c>
      <c r="BO51" s="145" t="s">
        <v>556</v>
      </c>
      <c r="BP51" s="14" t="s">
        <v>556</v>
      </c>
      <c r="BQ51" s="14" t="s">
        <v>557</v>
      </c>
    </row>
    <row r="52" spans="1:70" s="56" customFormat="1" ht="13.95" customHeight="1" x14ac:dyDescent="0.3">
      <c r="A52" s="56" t="s">
        <v>459</v>
      </c>
      <c r="B52" s="57" t="s">
        <v>462</v>
      </c>
      <c r="C52" s="55" t="s">
        <v>315</v>
      </c>
      <c r="D52" s="58">
        <v>4</v>
      </c>
      <c r="E52" s="59" t="s">
        <v>686</v>
      </c>
      <c r="F52" s="60" t="s">
        <v>455</v>
      </c>
      <c r="G52" s="61" t="s">
        <v>529</v>
      </c>
      <c r="H52" s="61" t="s">
        <v>530</v>
      </c>
      <c r="I52" s="62" t="s">
        <v>530</v>
      </c>
      <c r="J52" s="63" t="s">
        <v>1798</v>
      </c>
      <c r="K52" s="99" t="s">
        <v>1413</v>
      </c>
      <c r="L52" s="130">
        <v>494388130</v>
      </c>
      <c r="M52" s="109" t="s">
        <v>564</v>
      </c>
      <c r="N52" s="12" t="s">
        <v>1412</v>
      </c>
      <c r="O52" s="100" t="s">
        <v>1414</v>
      </c>
      <c r="P52" s="131">
        <v>777658203</v>
      </c>
      <c r="Q52" s="67"/>
      <c r="R52" s="68"/>
      <c r="S52" s="99"/>
      <c r="T52" s="112"/>
      <c r="U52" s="170">
        <f>81500+75000+149823</f>
        <v>306323</v>
      </c>
      <c r="V52" s="48">
        <f t="shared" si="2"/>
        <v>306.01698301698303</v>
      </c>
      <c r="W52" s="171">
        <f t="shared" si="3"/>
        <v>278.94529986508184</v>
      </c>
      <c r="X52" s="69">
        <v>111880</v>
      </c>
      <c r="Y52" s="48">
        <f t="shared" si="4"/>
        <v>111.76823176823177</v>
      </c>
      <c r="Z52" s="137">
        <f t="shared" si="5"/>
        <v>101.88069504707565</v>
      </c>
      <c r="AA52" s="69">
        <v>0</v>
      </c>
      <c r="AB52" s="48">
        <f t="shared" si="6"/>
        <v>0</v>
      </c>
      <c r="AC52" s="137">
        <f t="shared" si="7"/>
        <v>0</v>
      </c>
      <c r="AD52" s="70">
        <f t="shared" si="8"/>
        <v>418203</v>
      </c>
      <c r="AE52" s="71">
        <f t="shared" si="9"/>
        <v>417.78521478521481</v>
      </c>
      <c r="AF52" s="193">
        <f t="shared" si="10"/>
        <v>380.82599491215746</v>
      </c>
      <c r="AG52" s="185">
        <f t="shared" si="11"/>
        <v>6.9370987807912416E-3</v>
      </c>
      <c r="AH52" s="180">
        <f t="shared" si="16"/>
        <v>2.8352745762711865E-2</v>
      </c>
      <c r="AI52" s="189">
        <v>1001</v>
      </c>
      <c r="AJ52" s="125">
        <v>1098.1472000000001</v>
      </c>
      <c r="AK52" s="149">
        <v>429</v>
      </c>
      <c r="AL52" s="221">
        <v>304</v>
      </c>
      <c r="AM52" s="216">
        <v>84.696569920844325</v>
      </c>
      <c r="AN52" s="213">
        <v>2.3305084745762712</v>
      </c>
      <c r="AO52" s="127">
        <v>12.057</v>
      </c>
      <c r="AP52" s="133">
        <v>2.95</v>
      </c>
      <c r="AQ52" s="224">
        <f t="shared" si="13"/>
        <v>1.0481675392670158</v>
      </c>
      <c r="AR52" s="158">
        <v>955</v>
      </c>
      <c r="AS52" s="229">
        <f t="shared" si="14"/>
        <v>0.70147161878065878</v>
      </c>
      <c r="AT52" s="230">
        <v>1427</v>
      </c>
      <c r="AU52" s="203">
        <v>15.484515484515486</v>
      </c>
      <c r="AV52" s="204">
        <v>64.035964035964042</v>
      </c>
      <c r="AW52" s="205">
        <v>20.479520479520481</v>
      </c>
      <c r="AX52" s="123">
        <v>3.8580000000000001</v>
      </c>
      <c r="AY52" s="281">
        <v>6.7010309278350517</v>
      </c>
      <c r="AZ52" s="282">
        <v>34.793814432989691</v>
      </c>
      <c r="BA52" s="283">
        <f t="shared" si="15"/>
        <v>58.505154639175259</v>
      </c>
      <c r="BB52" s="234">
        <v>74.157303370786522</v>
      </c>
      <c r="BC52" s="20">
        <v>2005</v>
      </c>
      <c r="BD52" s="263" t="s">
        <v>556</v>
      </c>
      <c r="BE52" s="261" t="s">
        <v>556</v>
      </c>
      <c r="BF52" s="259" t="s">
        <v>556</v>
      </c>
      <c r="BG52" s="256">
        <v>43.06878306878307</v>
      </c>
      <c r="BH52" s="248" t="s">
        <v>556</v>
      </c>
      <c r="BI52" s="249">
        <v>17.558139534883722</v>
      </c>
      <c r="BJ52" s="308" t="s">
        <v>556</v>
      </c>
      <c r="BK52" s="307" t="s">
        <v>750</v>
      </c>
      <c r="BL52" s="319" t="s">
        <v>1728</v>
      </c>
      <c r="BM52" s="320" t="s">
        <v>556</v>
      </c>
      <c r="BN52" s="321" t="s">
        <v>1801</v>
      </c>
      <c r="BO52" s="145" t="s">
        <v>556</v>
      </c>
      <c r="BP52" s="14" t="s">
        <v>556</v>
      </c>
      <c r="BQ52" s="14" t="s">
        <v>557</v>
      </c>
    </row>
    <row r="53" spans="1:70" s="56" customFormat="1" ht="13.95" customHeight="1" x14ac:dyDescent="0.3">
      <c r="A53" s="56" t="s">
        <v>459</v>
      </c>
      <c r="B53" s="57" t="s">
        <v>462</v>
      </c>
      <c r="C53" s="55" t="s">
        <v>236</v>
      </c>
      <c r="D53" s="58">
        <v>1</v>
      </c>
      <c r="E53" s="59"/>
      <c r="F53" s="60" t="s">
        <v>454</v>
      </c>
      <c r="G53" s="61" t="s">
        <v>526</v>
      </c>
      <c r="H53" s="61" t="s">
        <v>526</v>
      </c>
      <c r="I53" s="62" t="s">
        <v>526</v>
      </c>
      <c r="J53" s="63" t="s">
        <v>1802</v>
      </c>
      <c r="K53" s="99" t="s">
        <v>1264</v>
      </c>
      <c r="L53" s="130">
        <v>491475121</v>
      </c>
      <c r="M53" s="109" t="s">
        <v>564</v>
      </c>
      <c r="N53" s="12" t="s">
        <v>1263</v>
      </c>
      <c r="O53" s="100"/>
      <c r="P53" s="131">
        <v>724164689</v>
      </c>
      <c r="Q53" s="67"/>
      <c r="R53" s="68"/>
      <c r="S53" s="99"/>
      <c r="T53" s="65"/>
      <c r="U53" s="170">
        <v>0</v>
      </c>
      <c r="V53" s="48">
        <f t="shared" si="2"/>
        <v>0</v>
      </c>
      <c r="W53" s="171">
        <f t="shared" si="3"/>
        <v>0</v>
      </c>
      <c r="X53" s="69">
        <v>31000</v>
      </c>
      <c r="Y53" s="48">
        <f t="shared" si="4"/>
        <v>64.049586776859499</v>
      </c>
      <c r="Z53" s="137">
        <f t="shared" si="5"/>
        <v>54.844008601663539</v>
      </c>
      <c r="AA53" s="69">
        <v>0</v>
      </c>
      <c r="AB53" s="48">
        <f t="shared" si="6"/>
        <v>0</v>
      </c>
      <c r="AC53" s="137">
        <f t="shared" si="7"/>
        <v>0</v>
      </c>
      <c r="AD53" s="70">
        <f t="shared" si="8"/>
        <v>31000</v>
      </c>
      <c r="AE53" s="71">
        <f t="shared" si="9"/>
        <v>64.049586776859499</v>
      </c>
      <c r="AF53" s="193">
        <f t="shared" si="10"/>
        <v>54.844008601663539</v>
      </c>
      <c r="AG53" s="185">
        <f t="shared" si="11"/>
        <v>7.9558578211215186E-4</v>
      </c>
      <c r="AH53" s="180">
        <f t="shared" si="16"/>
        <v>1.5316205533596838E-3</v>
      </c>
      <c r="AI53" s="189">
        <v>484</v>
      </c>
      <c r="AJ53" s="125">
        <v>565.23950000000002</v>
      </c>
      <c r="AK53" s="149">
        <v>156</v>
      </c>
      <c r="AL53" s="221">
        <v>123</v>
      </c>
      <c r="AM53" s="216">
        <v>96.913580246913583</v>
      </c>
      <c r="AN53" s="213">
        <v>2.5773195876288661</v>
      </c>
      <c r="AO53" s="127">
        <v>7.7930000000000001</v>
      </c>
      <c r="AP53" s="133">
        <v>4.048</v>
      </c>
      <c r="AQ53" s="224">
        <f t="shared" si="13"/>
        <v>1.0876404494382022</v>
      </c>
      <c r="AR53" s="158">
        <v>445</v>
      </c>
      <c r="AS53" s="229">
        <f t="shared" si="14"/>
        <v>0.8134453781512605</v>
      </c>
      <c r="AT53" s="230">
        <v>595</v>
      </c>
      <c r="AU53" s="203">
        <v>14.87603305785124</v>
      </c>
      <c r="AV53" s="204">
        <v>67.56198347107437</v>
      </c>
      <c r="AW53" s="205">
        <v>17.561983471074381</v>
      </c>
      <c r="AX53" s="123">
        <v>3.4161000000000001</v>
      </c>
      <c r="AY53" s="281">
        <v>6.8965517241379306</v>
      </c>
      <c r="AZ53" s="282">
        <v>32.512315270935957</v>
      </c>
      <c r="BA53" s="283">
        <f t="shared" si="15"/>
        <v>60.591133004926107</v>
      </c>
      <c r="BB53" s="234">
        <v>94.230769230769226</v>
      </c>
      <c r="BC53" s="20">
        <v>2001</v>
      </c>
      <c r="BD53" s="263" t="s">
        <v>556</v>
      </c>
      <c r="BE53" s="261" t="s">
        <v>556</v>
      </c>
      <c r="BF53" s="260" t="s">
        <v>557</v>
      </c>
      <c r="BG53" s="256">
        <v>22.666666666666664</v>
      </c>
      <c r="BH53" s="254" t="s">
        <v>557</v>
      </c>
      <c r="BI53" s="249">
        <v>0</v>
      </c>
      <c r="BJ53" s="308" t="s">
        <v>556</v>
      </c>
      <c r="BK53" s="307" t="s">
        <v>750</v>
      </c>
      <c r="BL53" s="319" t="s">
        <v>1728</v>
      </c>
      <c r="BM53" s="320" t="s">
        <v>556</v>
      </c>
      <c r="BN53" s="321" t="s">
        <v>1803</v>
      </c>
      <c r="BO53" s="145" t="s">
        <v>557</v>
      </c>
      <c r="BP53" s="14" t="s">
        <v>556</v>
      </c>
      <c r="BQ53" s="14" t="s">
        <v>556</v>
      </c>
      <c r="BR53" s="72"/>
    </row>
    <row r="54" spans="1:70" s="56" customFormat="1" ht="13.95" customHeight="1" x14ac:dyDescent="0.3">
      <c r="A54" s="56" t="s">
        <v>459</v>
      </c>
      <c r="B54" s="57" t="s">
        <v>462</v>
      </c>
      <c r="C54" s="55" t="s">
        <v>316</v>
      </c>
      <c r="D54" s="58">
        <v>2</v>
      </c>
      <c r="E54" s="59" t="s">
        <v>677</v>
      </c>
      <c r="F54" s="60" t="s">
        <v>455</v>
      </c>
      <c r="G54" s="61" t="s">
        <v>528</v>
      </c>
      <c r="H54" s="61" t="s">
        <v>528</v>
      </c>
      <c r="I54" s="62" t="s">
        <v>528</v>
      </c>
      <c r="J54" s="63" t="s">
        <v>1804</v>
      </c>
      <c r="K54" s="99" t="s">
        <v>1416</v>
      </c>
      <c r="L54" s="130">
        <v>494384124</v>
      </c>
      <c r="M54" s="109" t="s">
        <v>537</v>
      </c>
      <c r="N54" s="12" t="s">
        <v>1415</v>
      </c>
      <c r="O54" s="100"/>
      <c r="P54" s="131"/>
      <c r="Q54" s="67"/>
      <c r="R54" s="68"/>
      <c r="S54" s="99"/>
      <c r="T54" s="112"/>
      <c r="U54" s="170">
        <f>270000+150000+139700+497500</f>
        <v>1057200</v>
      </c>
      <c r="V54" s="48">
        <f t="shared" si="2"/>
        <v>1413.3689839572191</v>
      </c>
      <c r="W54" s="171">
        <f t="shared" si="3"/>
        <v>845.60177099661109</v>
      </c>
      <c r="X54" s="69">
        <v>2000</v>
      </c>
      <c r="Y54" s="48">
        <f t="shared" si="4"/>
        <v>2.6737967914438503</v>
      </c>
      <c r="Z54" s="137">
        <f t="shared" si="5"/>
        <v>1.5997006640117502</v>
      </c>
      <c r="AA54" s="69">
        <v>0</v>
      </c>
      <c r="AB54" s="48">
        <f t="shared" si="6"/>
        <v>0</v>
      </c>
      <c r="AC54" s="137">
        <f t="shared" si="7"/>
        <v>0</v>
      </c>
      <c r="AD54" s="70">
        <f t="shared" si="8"/>
        <v>1059200</v>
      </c>
      <c r="AE54" s="71">
        <f t="shared" si="9"/>
        <v>1416.0427807486631</v>
      </c>
      <c r="AF54" s="193">
        <f t="shared" si="10"/>
        <v>847.20147166062293</v>
      </c>
      <c r="AG54" s="185">
        <f t="shared" si="11"/>
        <v>3.0772806507844277E-2</v>
      </c>
      <c r="AH54" s="180">
        <f t="shared" si="16"/>
        <v>0.2533971291866029</v>
      </c>
      <c r="AI54" s="189">
        <v>748</v>
      </c>
      <c r="AJ54" s="125">
        <v>1250.2338999999999</v>
      </c>
      <c r="AK54" s="149">
        <v>306</v>
      </c>
      <c r="AL54" s="221">
        <v>210</v>
      </c>
      <c r="AM54" s="216">
        <v>95.719844357976655</v>
      </c>
      <c r="AN54" s="213">
        <v>7.1661237785016292</v>
      </c>
      <c r="AO54" s="127">
        <v>6.8840000000000003</v>
      </c>
      <c r="AP54" s="133">
        <v>0.83599999999999997</v>
      </c>
      <c r="AQ54" s="224">
        <f t="shared" si="13"/>
        <v>0.99866488651535379</v>
      </c>
      <c r="AR54" s="158">
        <v>749</v>
      </c>
      <c r="AS54" s="229">
        <f t="shared" si="14"/>
        <v>0.84615384615384615</v>
      </c>
      <c r="AT54" s="230">
        <v>884</v>
      </c>
      <c r="AU54" s="203">
        <v>17.914438502673796</v>
      </c>
      <c r="AV54" s="204">
        <v>64.572192513368989</v>
      </c>
      <c r="AW54" s="205">
        <v>17.513368983957221</v>
      </c>
      <c r="AX54" s="123">
        <v>2.4792999999999998</v>
      </c>
      <c r="AY54" s="281">
        <v>7.5163398692810457</v>
      </c>
      <c r="AZ54" s="282">
        <v>47.058823529411761</v>
      </c>
      <c r="BA54" s="283">
        <f t="shared" si="15"/>
        <v>45.424836601307199</v>
      </c>
      <c r="BB54" s="234">
        <v>83.22147651006712</v>
      </c>
      <c r="BC54" s="20">
        <v>2011</v>
      </c>
      <c r="BD54" s="263" t="s">
        <v>556</v>
      </c>
      <c r="BE54" s="261" t="s">
        <v>556</v>
      </c>
      <c r="BF54" s="260" t="s">
        <v>557</v>
      </c>
      <c r="BG54" s="256">
        <v>47.226386806596707</v>
      </c>
      <c r="BH54" s="248" t="s">
        <v>556</v>
      </c>
      <c r="BI54" s="249">
        <v>23.370429252782195</v>
      </c>
      <c r="BJ54" s="308" t="s">
        <v>556</v>
      </c>
      <c r="BK54" s="307" t="s">
        <v>750</v>
      </c>
      <c r="BL54" s="319" t="s">
        <v>1728</v>
      </c>
      <c r="BM54" s="320" t="s">
        <v>556</v>
      </c>
      <c r="BN54" s="321" t="s">
        <v>1799</v>
      </c>
      <c r="BO54" s="145" t="s">
        <v>556</v>
      </c>
      <c r="BP54" s="14" t="s">
        <v>556</v>
      </c>
      <c r="BQ54" s="14" t="s">
        <v>557</v>
      </c>
      <c r="BR54" s="72"/>
    </row>
    <row r="55" spans="1:70" s="56" customFormat="1" ht="13.95" customHeight="1" x14ac:dyDescent="0.3">
      <c r="A55" s="56" t="s">
        <v>459</v>
      </c>
      <c r="B55" s="57" t="s">
        <v>462</v>
      </c>
      <c r="C55" s="55" t="s">
        <v>17</v>
      </c>
      <c r="D55" s="58">
        <v>3</v>
      </c>
      <c r="E55" s="59" t="s">
        <v>466</v>
      </c>
      <c r="F55" s="60" t="s">
        <v>452</v>
      </c>
      <c r="G55" s="61" t="s">
        <v>11</v>
      </c>
      <c r="H55" s="61" t="s">
        <v>11</v>
      </c>
      <c r="I55" s="62" t="s">
        <v>17</v>
      </c>
      <c r="J55" s="63" t="s">
        <v>1806</v>
      </c>
      <c r="K55" s="99" t="s">
        <v>1805</v>
      </c>
      <c r="L55" s="130">
        <v>495431221</v>
      </c>
      <c r="M55" s="109" t="s">
        <v>564</v>
      </c>
      <c r="N55" s="12" t="s">
        <v>805</v>
      </c>
      <c r="O55" s="100" t="s">
        <v>806</v>
      </c>
      <c r="P55" s="131"/>
      <c r="Q55" s="67"/>
      <c r="R55" s="68"/>
      <c r="S55" s="99"/>
      <c r="T55" s="65"/>
      <c r="U55" s="172">
        <v>0</v>
      </c>
      <c r="V55" s="135">
        <f t="shared" si="2"/>
        <v>0</v>
      </c>
      <c r="W55" s="173">
        <f t="shared" si="3"/>
        <v>0</v>
      </c>
      <c r="X55" s="69">
        <f>1408047+108000</f>
        <v>1516047</v>
      </c>
      <c r="Y55" s="48">
        <f t="shared" si="4"/>
        <v>619.55333060890882</v>
      </c>
      <c r="Z55" s="137">
        <f t="shared" si="5"/>
        <v>589.72902052508448</v>
      </c>
      <c r="AA55" s="69">
        <v>0</v>
      </c>
      <c r="AB55" s="48">
        <f t="shared" si="6"/>
        <v>0</v>
      </c>
      <c r="AC55" s="137">
        <f t="shared" si="7"/>
        <v>0</v>
      </c>
      <c r="AD55" s="70">
        <f t="shared" si="8"/>
        <v>1516047</v>
      </c>
      <c r="AE55" s="71">
        <f t="shared" si="9"/>
        <v>619.55333060890882</v>
      </c>
      <c r="AF55" s="193">
        <f t="shared" si="10"/>
        <v>589.72902052508448</v>
      </c>
      <c r="AG55" s="185">
        <f t="shared" si="11"/>
        <v>9.6131828413810599E-3</v>
      </c>
      <c r="AH55" s="180">
        <f t="shared" si="16"/>
        <v>3.1910061039781099E-2</v>
      </c>
      <c r="AI55" s="189">
        <v>2447</v>
      </c>
      <c r="AJ55" s="125">
        <v>2570.7519000000002</v>
      </c>
      <c r="AK55" s="149">
        <v>812</v>
      </c>
      <c r="AL55" s="221">
        <v>625</v>
      </c>
      <c r="AM55" s="216">
        <v>87.182741116751274</v>
      </c>
      <c r="AN55" s="213">
        <v>0.8771929824561403</v>
      </c>
      <c r="AO55" s="127">
        <v>31.541</v>
      </c>
      <c r="AP55" s="133">
        <v>9.5020000000000007</v>
      </c>
      <c r="AQ55" s="224">
        <f t="shared" si="13"/>
        <v>1.286540483701367</v>
      </c>
      <c r="AR55" s="158">
        <v>1902</v>
      </c>
      <c r="AS55" s="229">
        <f t="shared" si="14"/>
        <v>0.97103174603174602</v>
      </c>
      <c r="AT55" s="230">
        <v>2520</v>
      </c>
      <c r="AU55" s="203">
        <v>16.550878626890071</v>
      </c>
      <c r="AV55" s="204">
        <v>69.799754801798116</v>
      </c>
      <c r="AW55" s="205">
        <v>13.649366571311811</v>
      </c>
      <c r="AX55" s="123">
        <v>3.9352</v>
      </c>
      <c r="AY55" s="281">
        <v>1.881720430107527</v>
      </c>
      <c r="AZ55" s="282">
        <v>35.215053763440864</v>
      </c>
      <c r="BA55" s="283">
        <f t="shared" si="15"/>
        <v>62.903225806451616</v>
      </c>
      <c r="BB55" s="234">
        <v>91.666666666666671</v>
      </c>
      <c r="BC55" s="20">
        <v>1995</v>
      </c>
      <c r="BD55" s="263" t="s">
        <v>556</v>
      </c>
      <c r="BE55" s="261" t="s">
        <v>556</v>
      </c>
      <c r="BF55" s="259" t="s">
        <v>556</v>
      </c>
      <c r="BG55" s="256">
        <v>73.511904761904773</v>
      </c>
      <c r="BH55" s="248" t="s">
        <v>556</v>
      </c>
      <c r="BI55" s="249">
        <v>77.446248354541467</v>
      </c>
      <c r="BJ55" s="308" t="s">
        <v>556</v>
      </c>
      <c r="BK55" s="307" t="s">
        <v>556</v>
      </c>
      <c r="BL55" s="319" t="s">
        <v>1728</v>
      </c>
      <c r="BM55" s="322" t="s">
        <v>556</v>
      </c>
      <c r="BN55" s="321" t="s">
        <v>1807</v>
      </c>
      <c r="BO55" s="145" t="s">
        <v>556</v>
      </c>
      <c r="BP55" s="14">
        <v>2</v>
      </c>
      <c r="BQ55" s="14" t="s">
        <v>557</v>
      </c>
    </row>
    <row r="56" spans="1:70" s="56" customFormat="1" ht="13.95" customHeight="1" x14ac:dyDescent="0.3">
      <c r="A56" s="56" t="s">
        <v>459</v>
      </c>
      <c r="B56" s="57" t="s">
        <v>462</v>
      </c>
      <c r="C56" s="55" t="s">
        <v>18</v>
      </c>
      <c r="D56" s="58">
        <v>1</v>
      </c>
      <c r="E56" s="59"/>
      <c r="F56" s="60" t="s">
        <v>452</v>
      </c>
      <c r="G56" s="61" t="s">
        <v>11</v>
      </c>
      <c r="H56" s="61" t="s">
        <v>13</v>
      </c>
      <c r="I56" s="62" t="s">
        <v>13</v>
      </c>
      <c r="J56" s="63" t="s">
        <v>1808</v>
      </c>
      <c r="K56" s="99" t="s">
        <v>807</v>
      </c>
      <c r="L56" s="130">
        <v>495421231</v>
      </c>
      <c r="M56" s="109" t="s">
        <v>564</v>
      </c>
      <c r="N56" s="12" t="s">
        <v>808</v>
      </c>
      <c r="O56" s="100"/>
      <c r="P56" s="131">
        <v>495421221</v>
      </c>
      <c r="Q56" s="67"/>
      <c r="R56" s="68"/>
      <c r="S56" s="99"/>
      <c r="T56" s="65"/>
      <c r="U56" s="170">
        <v>311000</v>
      </c>
      <c r="V56" s="48">
        <f t="shared" si="2"/>
        <v>266.95278969957081</v>
      </c>
      <c r="W56" s="171">
        <f t="shared" si="3"/>
        <v>735.85432450465885</v>
      </c>
      <c r="X56" s="69">
        <v>422447</v>
      </c>
      <c r="Y56" s="48">
        <f t="shared" si="4"/>
        <v>362.6154506437768</v>
      </c>
      <c r="Z56" s="137">
        <f t="shared" si="5"/>
        <v>999.5480766045647</v>
      </c>
      <c r="AA56" s="69">
        <v>0</v>
      </c>
      <c r="AB56" s="48">
        <f t="shared" si="6"/>
        <v>0</v>
      </c>
      <c r="AC56" s="137">
        <f t="shared" si="7"/>
        <v>0</v>
      </c>
      <c r="AD56" s="70">
        <f t="shared" si="8"/>
        <v>733447</v>
      </c>
      <c r="AE56" s="71">
        <f t="shared" si="9"/>
        <v>629.56824034334761</v>
      </c>
      <c r="AF56" s="193">
        <f t="shared" si="10"/>
        <v>1735.4024011092235</v>
      </c>
      <c r="AG56" s="185">
        <f t="shared" si="11"/>
        <v>1.2046431797651309E-2</v>
      </c>
      <c r="AH56" s="180">
        <f t="shared" si="16"/>
        <v>6.4734951456310683E-2</v>
      </c>
      <c r="AI56" s="189">
        <v>1165</v>
      </c>
      <c r="AJ56" s="125">
        <v>422.63799999999998</v>
      </c>
      <c r="AK56" s="149">
        <v>296</v>
      </c>
      <c r="AL56" s="221">
        <v>238</v>
      </c>
      <c r="AM56" s="216">
        <v>60.902255639097746</v>
      </c>
      <c r="AN56" s="213">
        <v>1.5384615384615385</v>
      </c>
      <c r="AO56" s="127">
        <v>12.177</v>
      </c>
      <c r="AP56" s="133">
        <v>2.266</v>
      </c>
      <c r="AQ56" s="224">
        <f t="shared" si="13"/>
        <v>0.9765297569153395</v>
      </c>
      <c r="AR56" s="158">
        <v>1193</v>
      </c>
      <c r="AS56" s="229">
        <f t="shared" si="14"/>
        <v>1.1365853658536584</v>
      </c>
      <c r="AT56" s="230">
        <v>1025</v>
      </c>
      <c r="AU56" s="203">
        <v>14.420600858369099</v>
      </c>
      <c r="AV56" s="204">
        <v>65.665236051502148</v>
      </c>
      <c r="AW56" s="205">
        <v>19.914163090128756</v>
      </c>
      <c r="AX56" s="123">
        <v>4.8620000000000001</v>
      </c>
      <c r="AY56" s="281">
        <v>1.8072289156626504</v>
      </c>
      <c r="AZ56" s="282">
        <v>32.329317269076306</v>
      </c>
      <c r="BA56" s="283">
        <f t="shared" si="15"/>
        <v>65.863453815261039</v>
      </c>
      <c r="BB56" s="234">
        <v>66.333333333333329</v>
      </c>
      <c r="BC56" s="20">
        <v>2014</v>
      </c>
      <c r="BD56" s="263" t="s">
        <v>556</v>
      </c>
      <c r="BE56" s="261" t="s">
        <v>556</v>
      </c>
      <c r="BF56" s="259" t="s">
        <v>556</v>
      </c>
      <c r="BG56" s="256">
        <v>92.829827915869984</v>
      </c>
      <c r="BH56" s="248" t="s">
        <v>556</v>
      </c>
      <c r="BI56" s="249">
        <v>76.663356504468709</v>
      </c>
      <c r="BJ56" s="308" t="s">
        <v>556</v>
      </c>
      <c r="BK56" s="307" t="s">
        <v>750</v>
      </c>
      <c r="BL56" s="319" t="s">
        <v>1728</v>
      </c>
      <c r="BM56" s="320" t="s">
        <v>556</v>
      </c>
      <c r="BN56" s="321" t="s">
        <v>1803</v>
      </c>
      <c r="BO56" s="145" t="s">
        <v>556</v>
      </c>
      <c r="BP56" s="14" t="s">
        <v>556</v>
      </c>
      <c r="BQ56" s="14" t="s">
        <v>556</v>
      </c>
      <c r="BR56" s="72"/>
    </row>
    <row r="57" spans="1:70" s="56" customFormat="1" ht="13.95" customHeight="1" x14ac:dyDescent="0.3">
      <c r="A57" s="56" t="s">
        <v>459</v>
      </c>
      <c r="B57" s="57" t="s">
        <v>463</v>
      </c>
      <c r="C57" s="55" t="s">
        <v>391</v>
      </c>
      <c r="D57" s="58">
        <v>3</v>
      </c>
      <c r="E57" s="59" t="s">
        <v>721</v>
      </c>
      <c r="F57" s="60" t="s">
        <v>456</v>
      </c>
      <c r="G57" s="61" t="s">
        <v>389</v>
      </c>
      <c r="H57" s="61" t="s">
        <v>389</v>
      </c>
      <c r="I57" s="62" t="s">
        <v>392</v>
      </c>
      <c r="J57" s="63" t="s">
        <v>1810</v>
      </c>
      <c r="K57" s="99" t="s">
        <v>1809</v>
      </c>
      <c r="L57" s="130">
        <v>499435164</v>
      </c>
      <c r="M57" s="109" t="s">
        <v>564</v>
      </c>
      <c r="N57" s="12" t="s">
        <v>1550</v>
      </c>
      <c r="O57" s="100" t="s">
        <v>1551</v>
      </c>
      <c r="P57" s="131">
        <v>724180080</v>
      </c>
      <c r="Q57" s="82"/>
      <c r="R57" s="72"/>
      <c r="S57" s="115"/>
      <c r="T57" s="112"/>
      <c r="U57" s="170">
        <f>250000+500000</f>
        <v>750000</v>
      </c>
      <c r="V57" s="48">
        <f t="shared" si="2"/>
        <v>1080.6916426512969</v>
      </c>
      <c r="W57" s="171">
        <f t="shared" si="3"/>
        <v>338.40388693411762</v>
      </c>
      <c r="X57" s="69">
        <f>1104797+31000</f>
        <v>1135797</v>
      </c>
      <c r="Y57" s="48">
        <f t="shared" si="4"/>
        <v>1636.5951008645534</v>
      </c>
      <c r="Z57" s="137">
        <f t="shared" si="5"/>
        <v>512.47749275748004</v>
      </c>
      <c r="AA57" s="69">
        <v>0</v>
      </c>
      <c r="AB57" s="48">
        <f t="shared" si="6"/>
        <v>0</v>
      </c>
      <c r="AC57" s="137">
        <f t="shared" si="7"/>
        <v>0</v>
      </c>
      <c r="AD57" s="70">
        <f t="shared" si="8"/>
        <v>1885797</v>
      </c>
      <c r="AE57" s="71">
        <f t="shared" si="9"/>
        <v>2717.28674351585</v>
      </c>
      <c r="AF57" s="193">
        <f t="shared" si="10"/>
        <v>850.88137969159766</v>
      </c>
      <c r="AG57" s="185">
        <f t="shared" si="11"/>
        <v>2.760241510538642E-2</v>
      </c>
      <c r="AH57" s="180">
        <f t="shared" si="16"/>
        <v>0.1399478293135436</v>
      </c>
      <c r="AI57" s="189">
        <v>694</v>
      </c>
      <c r="AJ57" s="125">
        <v>2216.2865999999999</v>
      </c>
      <c r="AK57" s="149">
        <v>480</v>
      </c>
      <c r="AL57" s="221">
        <v>211</v>
      </c>
      <c r="AM57" s="216">
        <v>78.911564625850332</v>
      </c>
      <c r="AN57" s="213">
        <v>14.713216957605987</v>
      </c>
      <c r="AO57" s="127">
        <v>13.664</v>
      </c>
      <c r="AP57" s="133">
        <v>2.6949999999999998</v>
      </c>
      <c r="AQ57" s="224">
        <f t="shared" si="13"/>
        <v>0.89203084832904889</v>
      </c>
      <c r="AR57" s="158">
        <v>778</v>
      </c>
      <c r="AS57" s="229">
        <f t="shared" si="14"/>
        <v>0.3391984359726295</v>
      </c>
      <c r="AT57" s="230">
        <v>2046</v>
      </c>
      <c r="AU57" s="203">
        <v>14.841498559077809</v>
      </c>
      <c r="AV57" s="204">
        <v>64.265129682997127</v>
      </c>
      <c r="AW57" s="205">
        <v>20.893371757925074</v>
      </c>
      <c r="AX57" s="123">
        <v>4.1485000000000003</v>
      </c>
      <c r="AY57" s="281">
        <v>2.8571428571428572</v>
      </c>
      <c r="AZ57" s="282">
        <v>40.317460317460316</v>
      </c>
      <c r="BA57" s="283">
        <f t="shared" si="15"/>
        <v>56.825396825396822</v>
      </c>
      <c r="BB57" s="234">
        <v>51.5625</v>
      </c>
      <c r="BC57" s="20">
        <v>2001</v>
      </c>
      <c r="BD57" s="263" t="s">
        <v>556</v>
      </c>
      <c r="BE57" s="261" t="s">
        <v>556</v>
      </c>
      <c r="BF57" s="259" t="s">
        <v>556</v>
      </c>
      <c r="BG57" s="256">
        <v>31.520223152022314</v>
      </c>
      <c r="BH57" s="248" t="s">
        <v>556</v>
      </c>
      <c r="BI57" s="249">
        <v>58.206686930091188</v>
      </c>
      <c r="BJ57" s="308" t="s">
        <v>556</v>
      </c>
      <c r="BK57" s="307" t="s">
        <v>750</v>
      </c>
      <c r="BL57" s="319" t="s">
        <v>1728</v>
      </c>
      <c r="BM57" s="320" t="s">
        <v>556</v>
      </c>
      <c r="BN57" s="321" t="s">
        <v>2489</v>
      </c>
      <c r="BO57" s="145" t="s">
        <v>556</v>
      </c>
      <c r="BP57" s="14">
        <v>2</v>
      </c>
      <c r="BQ57" s="14" t="s">
        <v>557</v>
      </c>
      <c r="BR57" s="72"/>
    </row>
    <row r="58" spans="1:70" s="56" customFormat="1" ht="13.95" customHeight="1" x14ac:dyDescent="0.3">
      <c r="A58" s="56" t="s">
        <v>459</v>
      </c>
      <c r="B58" s="57" t="s">
        <v>462</v>
      </c>
      <c r="C58" s="55" t="s">
        <v>237</v>
      </c>
      <c r="D58" s="58">
        <v>1</v>
      </c>
      <c r="E58" s="59"/>
      <c r="F58" s="60" t="s">
        <v>454</v>
      </c>
      <c r="G58" s="61" t="s">
        <v>226</v>
      </c>
      <c r="H58" s="61" t="s">
        <v>238</v>
      </c>
      <c r="I58" s="62" t="s">
        <v>238</v>
      </c>
      <c r="J58" s="63" t="s">
        <v>1813</v>
      </c>
      <c r="K58" s="99" t="s">
        <v>1266</v>
      </c>
      <c r="L58" s="130">
        <v>491463161</v>
      </c>
      <c r="M58" s="109" t="s">
        <v>564</v>
      </c>
      <c r="N58" s="12" t="s">
        <v>1265</v>
      </c>
      <c r="O58" s="100" t="s">
        <v>1812</v>
      </c>
      <c r="P58" s="131"/>
      <c r="Q58" s="67"/>
      <c r="R58" s="68"/>
      <c r="S58" s="99"/>
      <c r="T58" s="65"/>
      <c r="U58" s="170">
        <v>92250</v>
      </c>
      <c r="V58" s="48">
        <f t="shared" si="2"/>
        <v>465.90909090909093</v>
      </c>
      <c r="W58" s="171">
        <f t="shared" si="3"/>
        <v>439.6604724979864</v>
      </c>
      <c r="X58" s="69">
        <v>7600</v>
      </c>
      <c r="Y58" s="48">
        <f t="shared" si="4"/>
        <v>38.383838383838381</v>
      </c>
      <c r="Z58" s="137">
        <f t="shared" si="5"/>
        <v>36.221350579779909</v>
      </c>
      <c r="AA58" s="69">
        <v>0</v>
      </c>
      <c r="AB58" s="48">
        <f t="shared" si="6"/>
        <v>0</v>
      </c>
      <c r="AC58" s="137">
        <f t="shared" si="7"/>
        <v>0</v>
      </c>
      <c r="AD58" s="70">
        <f t="shared" si="8"/>
        <v>99850</v>
      </c>
      <c r="AE58" s="71">
        <f t="shared" si="9"/>
        <v>504.29292929292927</v>
      </c>
      <c r="AF58" s="193">
        <f t="shared" si="10"/>
        <v>475.88182307776628</v>
      </c>
      <c r="AG58" s="185">
        <f t="shared" si="11"/>
        <v>1.1444126074498568E-2</v>
      </c>
      <c r="AH58" s="180">
        <f t="shared" si="16"/>
        <v>0.66566666666666663</v>
      </c>
      <c r="AI58" s="189">
        <v>198</v>
      </c>
      <c r="AJ58" s="125">
        <v>209.821</v>
      </c>
      <c r="AK58" s="149">
        <v>82</v>
      </c>
      <c r="AL58" s="221">
        <v>51</v>
      </c>
      <c r="AM58" s="216">
        <v>91.304347826086953</v>
      </c>
      <c r="AN58" s="213">
        <v>9.5238095238095237</v>
      </c>
      <c r="AO58" s="127">
        <v>1.7450000000000001</v>
      </c>
      <c r="AP58" s="133">
        <v>0.03</v>
      </c>
      <c r="AQ58" s="224">
        <f t="shared" si="13"/>
        <v>1.064516129032258</v>
      </c>
      <c r="AR58" s="158">
        <v>186</v>
      </c>
      <c r="AS58" s="229">
        <f t="shared" si="14"/>
        <v>0.84978540772532185</v>
      </c>
      <c r="AT58" s="230">
        <v>233</v>
      </c>
      <c r="AU58" s="203">
        <v>17.171717171717169</v>
      </c>
      <c r="AV58" s="204">
        <v>68.181818181818173</v>
      </c>
      <c r="AW58" s="205">
        <v>14.646464646464647</v>
      </c>
      <c r="AX58" s="123">
        <v>3.7313000000000001</v>
      </c>
      <c r="AY58" s="281">
        <v>11.538461538461538</v>
      </c>
      <c r="AZ58" s="282">
        <v>44.871794871794876</v>
      </c>
      <c r="BA58" s="283">
        <f t="shared" si="15"/>
        <v>43.589743589743591</v>
      </c>
      <c r="BB58" s="234">
        <v>91.891891891891888</v>
      </c>
      <c r="BC58" s="20">
        <v>1997</v>
      </c>
      <c r="BD58" s="263" t="s">
        <v>556</v>
      </c>
      <c r="BE58" s="261" t="s">
        <v>556</v>
      </c>
      <c r="BF58" s="260" t="s">
        <v>557</v>
      </c>
      <c r="BG58" s="256">
        <v>10.16949152542373</v>
      </c>
      <c r="BH58" s="254" t="s">
        <v>557</v>
      </c>
      <c r="BI58" s="249">
        <v>0</v>
      </c>
      <c r="BJ58" s="308" t="s">
        <v>556</v>
      </c>
      <c r="BK58" s="307" t="s">
        <v>557</v>
      </c>
      <c r="BL58" s="319" t="s">
        <v>1728</v>
      </c>
      <c r="BM58" s="320" t="s">
        <v>556</v>
      </c>
      <c r="BN58" s="321" t="s">
        <v>1814</v>
      </c>
      <c r="BO58" s="145" t="s">
        <v>557</v>
      </c>
      <c r="BP58" s="14" t="s">
        <v>557</v>
      </c>
      <c r="BQ58" s="14" t="s">
        <v>557</v>
      </c>
      <c r="BR58" s="72"/>
    </row>
    <row r="59" spans="1:70" s="56" customFormat="1" ht="13.95" customHeight="1" x14ac:dyDescent="0.3">
      <c r="A59" s="56" t="s">
        <v>459</v>
      </c>
      <c r="B59" s="57" t="s">
        <v>462</v>
      </c>
      <c r="C59" s="55" t="s">
        <v>131</v>
      </c>
      <c r="D59" s="58">
        <v>1</v>
      </c>
      <c r="E59" s="97" t="s">
        <v>614</v>
      </c>
      <c r="F59" s="60" t="s">
        <v>453</v>
      </c>
      <c r="G59" s="61" t="s">
        <v>117</v>
      </c>
      <c r="H59" s="61" t="s">
        <v>117</v>
      </c>
      <c r="I59" s="62" t="s">
        <v>122</v>
      </c>
      <c r="J59" s="63" t="s">
        <v>1815</v>
      </c>
      <c r="K59" s="99" t="s">
        <v>1037</v>
      </c>
      <c r="L59" s="130">
        <v>493620032</v>
      </c>
      <c r="M59" s="109" t="s">
        <v>564</v>
      </c>
      <c r="N59" s="12" t="s">
        <v>1036</v>
      </c>
      <c r="O59" s="100"/>
      <c r="P59" s="131">
        <v>603874472</v>
      </c>
      <c r="Q59" s="67"/>
      <c r="R59" s="68"/>
      <c r="S59" s="99"/>
      <c r="T59" s="65"/>
      <c r="U59" s="170">
        <v>0</v>
      </c>
      <c r="V59" s="48">
        <f t="shared" si="2"/>
        <v>0</v>
      </c>
      <c r="W59" s="171">
        <f t="shared" si="3"/>
        <v>0</v>
      </c>
      <c r="X59" s="69">
        <v>0</v>
      </c>
      <c r="Y59" s="48">
        <f t="shared" si="4"/>
        <v>0</v>
      </c>
      <c r="Z59" s="137">
        <f t="shared" si="5"/>
        <v>0</v>
      </c>
      <c r="AA59" s="69">
        <v>0</v>
      </c>
      <c r="AB59" s="48">
        <f t="shared" si="6"/>
        <v>0</v>
      </c>
      <c r="AC59" s="137">
        <f t="shared" si="7"/>
        <v>0</v>
      </c>
      <c r="AD59" s="70">
        <f t="shared" si="8"/>
        <v>0</v>
      </c>
      <c r="AE59" s="71">
        <f t="shared" si="9"/>
        <v>0</v>
      </c>
      <c r="AF59" s="193">
        <f t="shared" si="10"/>
        <v>0</v>
      </c>
      <c r="AG59" s="185">
        <f t="shared" si="11"/>
        <v>0</v>
      </c>
      <c r="AH59" s="180">
        <f t="shared" si="16"/>
        <v>0</v>
      </c>
      <c r="AI59" s="189">
        <v>151</v>
      </c>
      <c r="AJ59" s="125">
        <v>656.29409999999996</v>
      </c>
      <c r="AK59" s="149">
        <v>66</v>
      </c>
      <c r="AL59" s="221">
        <v>41</v>
      </c>
      <c r="AM59" s="216">
        <v>83.333333333333343</v>
      </c>
      <c r="AN59" s="213">
        <v>1.4285714285714284</v>
      </c>
      <c r="AO59" s="127">
        <v>1.05</v>
      </c>
      <c r="AP59" s="133">
        <v>0.158</v>
      </c>
      <c r="AQ59" s="224">
        <f t="shared" si="13"/>
        <v>1.217741935483871</v>
      </c>
      <c r="AR59" s="158">
        <v>124</v>
      </c>
      <c r="AS59" s="229">
        <f t="shared" si="14"/>
        <v>0.52430555555555558</v>
      </c>
      <c r="AT59" s="230">
        <v>288</v>
      </c>
      <c r="AU59" s="203">
        <v>16.556291390728479</v>
      </c>
      <c r="AV59" s="204">
        <v>68.211920529801318</v>
      </c>
      <c r="AW59" s="205">
        <v>15.231788079470199</v>
      </c>
      <c r="AX59" s="123">
        <v>4.8076999999999996</v>
      </c>
      <c r="AY59" s="281">
        <v>20.634920634920633</v>
      </c>
      <c r="AZ59" s="282">
        <v>46.031746031746032</v>
      </c>
      <c r="BA59" s="283">
        <f t="shared" si="15"/>
        <v>33.333333333333336</v>
      </c>
      <c r="BB59" s="234">
        <v>77.777777777777786</v>
      </c>
      <c r="BC59" s="20">
        <v>2019</v>
      </c>
      <c r="BD59" s="263" t="s">
        <v>556</v>
      </c>
      <c r="BE59" s="261" t="s">
        <v>556</v>
      </c>
      <c r="BF59" s="260" t="s">
        <v>557</v>
      </c>
      <c r="BG59" s="257" t="s">
        <v>1686</v>
      </c>
      <c r="BH59" s="254" t="s">
        <v>557</v>
      </c>
      <c r="BI59" s="249">
        <v>0</v>
      </c>
      <c r="BJ59" s="309" t="s">
        <v>557</v>
      </c>
      <c r="BK59" s="307" t="s">
        <v>557</v>
      </c>
      <c r="BL59" s="319" t="s">
        <v>1728</v>
      </c>
      <c r="BM59" s="320" t="s">
        <v>556</v>
      </c>
      <c r="BN59" s="321" t="s">
        <v>557</v>
      </c>
      <c r="BO59" s="145" t="s">
        <v>557</v>
      </c>
      <c r="BP59" s="14" t="s">
        <v>557</v>
      </c>
      <c r="BQ59" s="14" t="s">
        <v>557</v>
      </c>
      <c r="BR59" s="72"/>
    </row>
    <row r="60" spans="1:70" s="56" customFormat="1" ht="13.95" customHeight="1" x14ac:dyDescent="0.3">
      <c r="A60" s="56" t="s">
        <v>461</v>
      </c>
      <c r="B60" s="77" t="s">
        <v>464</v>
      </c>
      <c r="C60" s="74" t="s">
        <v>238</v>
      </c>
      <c r="D60" s="58">
        <v>7</v>
      </c>
      <c r="E60" s="59" t="s">
        <v>642</v>
      </c>
      <c r="F60" s="60" t="s">
        <v>454</v>
      </c>
      <c r="G60" s="75" t="s">
        <v>226</v>
      </c>
      <c r="H60" s="75" t="s">
        <v>238</v>
      </c>
      <c r="I60" s="76" t="s">
        <v>238</v>
      </c>
      <c r="J60" s="63" t="s">
        <v>1818</v>
      </c>
      <c r="K60" s="99" t="s">
        <v>1817</v>
      </c>
      <c r="L60" s="130">
        <v>491467511</v>
      </c>
      <c r="M60" s="109" t="s">
        <v>564</v>
      </c>
      <c r="N60" s="12" t="s">
        <v>1267</v>
      </c>
      <c r="O60" s="100" t="s">
        <v>1268</v>
      </c>
      <c r="P60" s="130">
        <v>491467548</v>
      </c>
      <c r="Q60" s="67"/>
      <c r="R60" s="68"/>
      <c r="S60" s="99"/>
      <c r="T60" s="65"/>
      <c r="U60" s="172">
        <v>0</v>
      </c>
      <c r="V60" s="135">
        <f t="shared" si="2"/>
        <v>0</v>
      </c>
      <c r="W60" s="173">
        <f t="shared" si="3"/>
        <v>0</v>
      </c>
      <c r="X60" s="69">
        <f>768970+200000+16000+122000</f>
        <v>1106970</v>
      </c>
      <c r="Y60" s="48">
        <f t="shared" si="4"/>
        <v>131.34432842904604</v>
      </c>
      <c r="Z60" s="137">
        <f t="shared" si="5"/>
        <v>459.81756420267692</v>
      </c>
      <c r="AA60" s="69">
        <v>0</v>
      </c>
      <c r="AB60" s="48">
        <f t="shared" si="6"/>
        <v>0</v>
      </c>
      <c r="AC60" s="137">
        <f t="shared" si="7"/>
        <v>0</v>
      </c>
      <c r="AD60" s="70">
        <f t="shared" si="8"/>
        <v>1106970</v>
      </c>
      <c r="AE60" s="71">
        <f t="shared" si="9"/>
        <v>131.34432842904604</v>
      </c>
      <c r="AF60" s="193">
        <f t="shared" si="10"/>
        <v>459.81756420267692</v>
      </c>
      <c r="AG60" s="185">
        <f t="shared" si="11"/>
        <v>1.6561614015664391E-3</v>
      </c>
      <c r="AH60" s="180">
        <f t="shared" si="16"/>
        <v>5.4153070958589148E-3</v>
      </c>
      <c r="AI60" s="189">
        <v>8428</v>
      </c>
      <c r="AJ60" s="126">
        <v>2407.4113000000002</v>
      </c>
      <c r="AK60" s="150">
        <v>2765</v>
      </c>
      <c r="AL60" s="221">
        <v>1831</v>
      </c>
      <c r="AM60" s="216">
        <v>61.817627325404089</v>
      </c>
      <c r="AN60" s="213">
        <v>3.800786369593709</v>
      </c>
      <c r="AO60" s="128">
        <v>133.679</v>
      </c>
      <c r="AP60" s="134">
        <v>40.883000000000003</v>
      </c>
      <c r="AQ60" s="224">
        <f t="shared" si="13"/>
        <v>0.98022795999069556</v>
      </c>
      <c r="AR60" s="158">
        <v>8598</v>
      </c>
      <c r="AS60" s="229">
        <f t="shared" si="14"/>
        <v>0.9732101616628176</v>
      </c>
      <c r="AT60" s="230">
        <v>8660</v>
      </c>
      <c r="AU60" s="203">
        <v>15.721404841006169</v>
      </c>
      <c r="AV60" s="204">
        <v>62.766967252017082</v>
      </c>
      <c r="AW60" s="205">
        <v>21.511627906976745</v>
      </c>
      <c r="AX60" s="123">
        <v>2.8092999999999999</v>
      </c>
      <c r="AY60" s="281">
        <v>1.5260581629714944</v>
      </c>
      <c r="AZ60" s="282">
        <v>44.255686726173337</v>
      </c>
      <c r="BA60" s="283">
        <f t="shared" si="15"/>
        <v>54.218255110855168</v>
      </c>
      <c r="BB60" s="234">
        <v>55.215577190542419</v>
      </c>
      <c r="BC60" s="20">
        <v>2002</v>
      </c>
      <c r="BD60" s="263" t="s">
        <v>556</v>
      </c>
      <c r="BE60" s="261" t="s">
        <v>556</v>
      </c>
      <c r="BF60" s="259" t="s">
        <v>556</v>
      </c>
      <c r="BG60" s="256">
        <v>73.946500549651887</v>
      </c>
      <c r="BH60" s="248" t="s">
        <v>556</v>
      </c>
      <c r="BI60" s="249">
        <v>56.29139072847682</v>
      </c>
      <c r="BJ60" s="311" t="s">
        <v>1713</v>
      </c>
      <c r="BK60" s="307" t="s">
        <v>556</v>
      </c>
      <c r="BL60" s="319" t="s">
        <v>1728</v>
      </c>
      <c r="BM60" s="320" t="s">
        <v>556</v>
      </c>
      <c r="BN60" s="321" t="s">
        <v>1816</v>
      </c>
      <c r="BO60" s="145" t="s">
        <v>556</v>
      </c>
      <c r="BP60" s="14" t="s">
        <v>556</v>
      </c>
      <c r="BQ60" s="14" t="s">
        <v>556</v>
      </c>
    </row>
    <row r="61" spans="1:70" s="56" customFormat="1" ht="13.95" customHeight="1" x14ac:dyDescent="0.3">
      <c r="A61" s="56" t="s">
        <v>459</v>
      </c>
      <c r="B61" s="57" t="s">
        <v>462</v>
      </c>
      <c r="C61" s="55" t="s">
        <v>239</v>
      </c>
      <c r="D61" s="58">
        <v>1</v>
      </c>
      <c r="E61" s="59"/>
      <c r="F61" s="60" t="s">
        <v>454</v>
      </c>
      <c r="G61" s="61" t="s">
        <v>226</v>
      </c>
      <c r="H61" s="61" t="s">
        <v>226</v>
      </c>
      <c r="I61" s="62" t="s">
        <v>226</v>
      </c>
      <c r="J61" s="63" t="s">
        <v>1820</v>
      </c>
      <c r="K61" s="99" t="s">
        <v>1819</v>
      </c>
      <c r="L61" s="130">
        <v>491814870</v>
      </c>
      <c r="M61" s="109" t="s">
        <v>537</v>
      </c>
      <c r="N61" s="12" t="s">
        <v>1270</v>
      </c>
      <c r="O61" s="100" t="s">
        <v>1269</v>
      </c>
      <c r="P61" s="131">
        <v>725396886</v>
      </c>
      <c r="Q61" s="67"/>
      <c r="R61" s="68"/>
      <c r="S61" s="99"/>
      <c r="T61" s="65"/>
      <c r="U61" s="170">
        <v>560000</v>
      </c>
      <c r="V61" s="48">
        <f t="shared" si="2"/>
        <v>1122.2444889779558</v>
      </c>
      <c r="W61" s="171">
        <f t="shared" si="3"/>
        <v>628.59738707781128</v>
      </c>
      <c r="X61" s="69">
        <v>2800</v>
      </c>
      <c r="Y61" s="48">
        <f t="shared" si="4"/>
        <v>5.6112224448897798</v>
      </c>
      <c r="Z61" s="137">
        <f t="shared" si="5"/>
        <v>3.1429869353890565</v>
      </c>
      <c r="AA61" s="69">
        <v>0</v>
      </c>
      <c r="AB61" s="48">
        <f t="shared" si="6"/>
        <v>0</v>
      </c>
      <c r="AC61" s="137">
        <f t="shared" si="7"/>
        <v>0</v>
      </c>
      <c r="AD61" s="70">
        <f t="shared" si="8"/>
        <v>562800</v>
      </c>
      <c r="AE61" s="71">
        <f t="shared" si="9"/>
        <v>1127.8557114228456</v>
      </c>
      <c r="AF61" s="193">
        <f t="shared" si="10"/>
        <v>631.74037401320038</v>
      </c>
      <c r="AG61" s="185">
        <f t="shared" si="11"/>
        <v>3.0112359550561799E-2</v>
      </c>
      <c r="AH61" s="180">
        <f t="shared" si="16"/>
        <v>0.53600000000000003</v>
      </c>
      <c r="AI61" s="189">
        <v>499</v>
      </c>
      <c r="AJ61" s="125">
        <v>890.8723</v>
      </c>
      <c r="AK61" s="149">
        <v>224</v>
      </c>
      <c r="AL61" s="221">
        <v>133</v>
      </c>
      <c r="AM61" s="216">
        <v>96.36363636363636</v>
      </c>
      <c r="AN61" s="213">
        <v>3.947368421052631</v>
      </c>
      <c r="AO61" s="127">
        <v>3.738</v>
      </c>
      <c r="AP61" s="133">
        <v>0.21</v>
      </c>
      <c r="AQ61" s="224">
        <f t="shared" si="13"/>
        <v>1.1577726218097448</v>
      </c>
      <c r="AR61" s="158">
        <v>431</v>
      </c>
      <c r="AS61" s="229">
        <f t="shared" si="14"/>
        <v>0.94150943396226416</v>
      </c>
      <c r="AT61" s="230">
        <v>530</v>
      </c>
      <c r="AU61" s="203">
        <v>13.226452905811623</v>
      </c>
      <c r="AV61" s="204">
        <v>70.741482965931866</v>
      </c>
      <c r="AW61" s="205">
        <v>16.032064128256511</v>
      </c>
      <c r="AX61" s="123">
        <v>2.2284000000000002</v>
      </c>
      <c r="AY61" s="281">
        <v>2.1929824561403506</v>
      </c>
      <c r="AZ61" s="282">
        <v>40.789473684210527</v>
      </c>
      <c r="BA61" s="283">
        <f t="shared" si="15"/>
        <v>57.017543859649116</v>
      </c>
      <c r="BB61" s="234">
        <v>93.636363636363626</v>
      </c>
      <c r="BC61" s="20">
        <v>2001</v>
      </c>
      <c r="BD61" s="263" t="s">
        <v>556</v>
      </c>
      <c r="BE61" s="261" t="s">
        <v>556</v>
      </c>
      <c r="BF61" s="260" t="s">
        <v>557</v>
      </c>
      <c r="BG61" s="256">
        <v>11.29032258064516</v>
      </c>
      <c r="BH61" s="254" t="s">
        <v>557</v>
      </c>
      <c r="BI61" s="249">
        <v>0</v>
      </c>
      <c r="BJ61" s="308" t="s">
        <v>556</v>
      </c>
      <c r="BK61" s="307" t="s">
        <v>750</v>
      </c>
      <c r="BL61" s="319" t="s">
        <v>1728</v>
      </c>
      <c r="BM61" s="320" t="s">
        <v>556</v>
      </c>
      <c r="BN61" s="321" t="s">
        <v>1801</v>
      </c>
      <c r="BO61" s="145" t="s">
        <v>556</v>
      </c>
      <c r="BP61" s="14" t="s">
        <v>556</v>
      </c>
      <c r="BQ61" s="14" t="s">
        <v>557</v>
      </c>
      <c r="BR61" s="72"/>
    </row>
    <row r="62" spans="1:70" s="72" customFormat="1" ht="13.95" customHeight="1" x14ac:dyDescent="0.3">
      <c r="A62" s="56" t="s">
        <v>459</v>
      </c>
      <c r="B62" s="57" t="s">
        <v>462</v>
      </c>
      <c r="C62" s="55" t="s">
        <v>240</v>
      </c>
      <c r="D62" s="58">
        <v>3</v>
      </c>
      <c r="E62" s="341" t="s">
        <v>643</v>
      </c>
      <c r="F62" s="60" t="s">
        <v>454</v>
      </c>
      <c r="G62" s="61" t="s">
        <v>226</v>
      </c>
      <c r="H62" s="61" t="s">
        <v>1227</v>
      </c>
      <c r="I62" s="62" t="s">
        <v>1227</v>
      </c>
      <c r="J62" s="63" t="s">
        <v>1822</v>
      </c>
      <c r="K62" s="99" t="s">
        <v>1821</v>
      </c>
      <c r="L62" s="130">
        <v>491541248</v>
      </c>
      <c r="M62" s="109" t="s">
        <v>564</v>
      </c>
      <c r="N62" s="12" t="s">
        <v>1271</v>
      </c>
      <c r="O62" s="100" t="s">
        <v>1272</v>
      </c>
      <c r="P62" s="131">
        <v>491541243</v>
      </c>
      <c r="Q62" s="67"/>
      <c r="R62" s="68"/>
      <c r="S62" s="99"/>
      <c r="T62" s="65"/>
      <c r="U62" s="170">
        <v>0</v>
      </c>
      <c r="V62" s="48">
        <f t="shared" si="2"/>
        <v>0</v>
      </c>
      <c r="W62" s="171">
        <f t="shared" si="3"/>
        <v>0</v>
      </c>
      <c r="X62" s="69">
        <v>0</v>
      </c>
      <c r="Y62" s="48">
        <f t="shared" si="4"/>
        <v>0</v>
      </c>
      <c r="Z62" s="137">
        <f t="shared" si="5"/>
        <v>0</v>
      </c>
      <c r="AA62" s="69">
        <v>0</v>
      </c>
      <c r="AB62" s="48">
        <f t="shared" si="6"/>
        <v>0</v>
      </c>
      <c r="AC62" s="137">
        <f t="shared" si="7"/>
        <v>0</v>
      </c>
      <c r="AD62" s="70">
        <f t="shared" si="8"/>
        <v>0</v>
      </c>
      <c r="AE62" s="71">
        <f t="shared" si="9"/>
        <v>0</v>
      </c>
      <c r="AF62" s="193">
        <f t="shared" si="10"/>
        <v>0</v>
      </c>
      <c r="AG62" s="185">
        <f t="shared" si="11"/>
        <v>0</v>
      </c>
      <c r="AH62" s="180">
        <f t="shared" si="16"/>
        <v>0</v>
      </c>
      <c r="AI62" s="189">
        <v>297</v>
      </c>
      <c r="AJ62" s="125">
        <v>969.08690000000001</v>
      </c>
      <c r="AK62" s="149">
        <v>164</v>
      </c>
      <c r="AL62" s="221">
        <v>96</v>
      </c>
      <c r="AM62" s="216">
        <v>88.596491228070178</v>
      </c>
      <c r="AN62" s="213">
        <v>31.282051282051281</v>
      </c>
      <c r="AO62" s="127">
        <v>3.266</v>
      </c>
      <c r="AP62" s="133">
        <v>0.70799999999999996</v>
      </c>
      <c r="AQ62" s="224">
        <f t="shared" si="13"/>
        <v>0.86588921282798836</v>
      </c>
      <c r="AR62" s="158">
        <v>343</v>
      </c>
      <c r="AS62" s="229">
        <f t="shared" si="14"/>
        <v>0.31428571428571428</v>
      </c>
      <c r="AT62" s="230">
        <v>945</v>
      </c>
      <c r="AU62" s="203">
        <v>19.865319865319865</v>
      </c>
      <c r="AV62" s="204">
        <v>59.259259259259267</v>
      </c>
      <c r="AW62" s="205">
        <v>20.875420875420875</v>
      </c>
      <c r="AX62" s="123">
        <v>5.4348000000000001</v>
      </c>
      <c r="AY62" s="281">
        <v>8.8235294117647065</v>
      </c>
      <c r="AZ62" s="282">
        <v>49.019607843137251</v>
      </c>
      <c r="BA62" s="283">
        <f t="shared" si="15"/>
        <v>42.156862745098039</v>
      </c>
      <c r="BB62" s="234">
        <v>88.372093023255815</v>
      </c>
      <c r="BC62" s="20">
        <v>2011</v>
      </c>
      <c r="BD62" s="263" t="s">
        <v>556</v>
      </c>
      <c r="BE62" s="261" t="s">
        <v>556</v>
      </c>
      <c r="BF62" s="260" t="s">
        <v>557</v>
      </c>
      <c r="BG62" s="256">
        <v>12.121212121212121</v>
      </c>
      <c r="BH62" s="254" t="s">
        <v>557</v>
      </c>
      <c r="BI62" s="249">
        <v>0</v>
      </c>
      <c r="BJ62" s="309" t="s">
        <v>557</v>
      </c>
      <c r="BK62" s="307" t="s">
        <v>557</v>
      </c>
      <c r="BL62" s="319" t="s">
        <v>1728</v>
      </c>
      <c r="BM62" s="320" t="s">
        <v>556</v>
      </c>
      <c r="BN62" s="321" t="s">
        <v>1799</v>
      </c>
      <c r="BO62" s="145" t="s">
        <v>556</v>
      </c>
      <c r="BP62" s="14" t="s">
        <v>557</v>
      </c>
      <c r="BQ62" s="14" t="s">
        <v>556</v>
      </c>
      <c r="BR62" s="56"/>
    </row>
    <row r="63" spans="1:70" s="56" customFormat="1" ht="13.95" customHeight="1" x14ac:dyDescent="0.3">
      <c r="A63" s="56" t="s">
        <v>461</v>
      </c>
      <c r="B63" s="77" t="s">
        <v>464</v>
      </c>
      <c r="C63" s="74" t="s">
        <v>233</v>
      </c>
      <c r="D63" s="58">
        <v>6</v>
      </c>
      <c r="E63" s="59" t="s">
        <v>757</v>
      </c>
      <c r="F63" s="60" t="s">
        <v>454</v>
      </c>
      <c r="G63" s="75" t="s">
        <v>226</v>
      </c>
      <c r="H63" s="75" t="s">
        <v>233</v>
      </c>
      <c r="I63" s="76" t="s">
        <v>233</v>
      </c>
      <c r="J63" s="63" t="s">
        <v>1233</v>
      </c>
      <c r="K63" s="99" t="s">
        <v>1236</v>
      </c>
      <c r="L63" s="130">
        <v>491490011</v>
      </c>
      <c r="M63" s="109" t="s">
        <v>564</v>
      </c>
      <c r="N63" s="12" t="s">
        <v>1234</v>
      </c>
      <c r="O63" s="100" t="s">
        <v>1235</v>
      </c>
      <c r="P63" s="131">
        <v>491490022</v>
      </c>
      <c r="Q63" s="67" t="s">
        <v>1230</v>
      </c>
      <c r="R63" s="68" t="s">
        <v>1231</v>
      </c>
      <c r="S63" s="99" t="s">
        <v>1232</v>
      </c>
      <c r="T63" s="131">
        <v>491470075</v>
      </c>
      <c r="U63" s="172">
        <v>0</v>
      </c>
      <c r="V63" s="135">
        <f t="shared" si="2"/>
        <v>0</v>
      </c>
      <c r="W63" s="173">
        <f t="shared" si="3"/>
        <v>0</v>
      </c>
      <c r="X63" s="69">
        <v>4473806</v>
      </c>
      <c r="Y63" s="48">
        <f t="shared" si="4"/>
        <v>886.07763913646272</v>
      </c>
      <c r="Z63" s="137">
        <f t="shared" si="5"/>
        <v>2577.3669942611059</v>
      </c>
      <c r="AA63" s="69">
        <f>5322121+772647+319396</f>
        <v>6414164</v>
      </c>
      <c r="AB63" s="48">
        <f t="shared" si="6"/>
        <v>1270.3830461477521</v>
      </c>
      <c r="AC63" s="137">
        <f t="shared" si="7"/>
        <v>3695.2104291911169</v>
      </c>
      <c r="AD63" s="141">
        <f t="shared" si="8"/>
        <v>10887970</v>
      </c>
      <c r="AE63" s="71">
        <f t="shared" si="9"/>
        <v>2156.4606852842148</v>
      </c>
      <c r="AF63" s="193">
        <f t="shared" si="10"/>
        <v>6272.5774234522223</v>
      </c>
      <c r="AG63" s="185">
        <f t="shared" si="11"/>
        <v>1.5991026318881451E-2</v>
      </c>
      <c r="AH63" s="180">
        <f t="shared" si="16"/>
        <v>2.565859923646133E-2</v>
      </c>
      <c r="AI63" s="189">
        <v>5049</v>
      </c>
      <c r="AJ63" s="126">
        <v>1735.8047999999999</v>
      </c>
      <c r="AK63" s="150">
        <v>1460</v>
      </c>
      <c r="AL63" s="221">
        <v>1135</v>
      </c>
      <c r="AM63" s="216">
        <v>57.860696517412933</v>
      </c>
      <c r="AN63" s="213">
        <v>2.1950189953566905</v>
      </c>
      <c r="AO63" s="128">
        <v>136.17599999999999</v>
      </c>
      <c r="AP63" s="134">
        <v>84.867999999999995</v>
      </c>
      <c r="AQ63" s="224">
        <f t="shared" si="13"/>
        <v>0.90257418662853062</v>
      </c>
      <c r="AR63" s="158">
        <v>5594</v>
      </c>
      <c r="AS63" s="229">
        <f t="shared" si="14"/>
        <v>1.1086956521739131</v>
      </c>
      <c r="AT63" s="230">
        <v>4554</v>
      </c>
      <c r="AU63" s="203">
        <v>13.883937413349178</v>
      </c>
      <c r="AV63" s="204">
        <v>66.389384036442863</v>
      </c>
      <c r="AW63" s="205">
        <v>19.726678550207964</v>
      </c>
      <c r="AX63" s="123">
        <v>3.9516</v>
      </c>
      <c r="AY63" s="281">
        <v>4.8401420959147421</v>
      </c>
      <c r="AZ63" s="282">
        <v>36.012433392539968</v>
      </c>
      <c r="BA63" s="283">
        <f t="shared" si="15"/>
        <v>59.147424511545289</v>
      </c>
      <c r="BB63" s="234">
        <v>45.987920621225193</v>
      </c>
      <c r="BC63" s="20">
        <v>1999</v>
      </c>
      <c r="BD63" s="263" t="s">
        <v>556</v>
      </c>
      <c r="BE63" s="261" t="s">
        <v>556</v>
      </c>
      <c r="BF63" s="259" t="s">
        <v>556</v>
      </c>
      <c r="BG63" s="256">
        <v>79.366368805848907</v>
      </c>
      <c r="BH63" s="248" t="s">
        <v>556</v>
      </c>
      <c r="BI63" s="249">
        <v>77.471945797162817</v>
      </c>
      <c r="BJ63" s="308" t="s">
        <v>556</v>
      </c>
      <c r="BK63" s="307" t="s">
        <v>556</v>
      </c>
      <c r="BL63" s="319" t="s">
        <v>1728</v>
      </c>
      <c r="BM63" s="320" t="s">
        <v>556</v>
      </c>
      <c r="BN63" s="321" t="s">
        <v>1823</v>
      </c>
      <c r="BO63" s="145" t="s">
        <v>556</v>
      </c>
      <c r="BP63" s="14" t="s">
        <v>556</v>
      </c>
      <c r="BQ63" s="14" t="s">
        <v>556</v>
      </c>
    </row>
    <row r="64" spans="1:70" s="56" customFormat="1" ht="13.95" customHeight="1" x14ac:dyDescent="0.3">
      <c r="A64" s="56" t="s">
        <v>459</v>
      </c>
      <c r="B64" s="57" t="s">
        <v>462</v>
      </c>
      <c r="C64" s="55" t="s">
        <v>317</v>
      </c>
      <c r="D64" s="58">
        <v>3</v>
      </c>
      <c r="E64" s="59" t="s">
        <v>688</v>
      </c>
      <c r="F64" s="60" t="s">
        <v>455</v>
      </c>
      <c r="G64" s="61" t="s">
        <v>304</v>
      </c>
      <c r="H64" s="61" t="s">
        <v>38</v>
      </c>
      <c r="I64" s="62" t="s">
        <v>38</v>
      </c>
      <c r="J64" s="63" t="s">
        <v>1826</v>
      </c>
      <c r="K64" s="99" t="s">
        <v>1417</v>
      </c>
      <c r="L64" s="130">
        <v>494661121</v>
      </c>
      <c r="M64" s="109" t="s">
        <v>564</v>
      </c>
      <c r="N64" s="12" t="s">
        <v>1825</v>
      </c>
      <c r="O64" s="100" t="s">
        <v>1824</v>
      </c>
      <c r="P64" s="131">
        <v>494661104</v>
      </c>
      <c r="Q64" s="67"/>
      <c r="R64" s="68"/>
      <c r="S64" s="99"/>
      <c r="T64" s="112"/>
      <c r="U64" s="170">
        <v>0</v>
      </c>
      <c r="V64" s="48">
        <f t="shared" si="2"/>
        <v>0</v>
      </c>
      <c r="W64" s="171">
        <f t="shared" si="3"/>
        <v>0</v>
      </c>
      <c r="X64" s="69">
        <v>117360</v>
      </c>
      <c r="Y64" s="48">
        <f t="shared" si="4"/>
        <v>63.198707592891758</v>
      </c>
      <c r="Z64" s="137">
        <f t="shared" si="5"/>
        <v>53.578433055446197</v>
      </c>
      <c r="AA64" s="69">
        <v>0</v>
      </c>
      <c r="AB64" s="48">
        <f t="shared" si="6"/>
        <v>0</v>
      </c>
      <c r="AC64" s="137">
        <f t="shared" si="7"/>
        <v>0</v>
      </c>
      <c r="AD64" s="70">
        <f t="shared" si="8"/>
        <v>117360</v>
      </c>
      <c r="AE64" s="71">
        <f t="shared" si="9"/>
        <v>63.198707592891758</v>
      </c>
      <c r="AF64" s="193">
        <f t="shared" si="10"/>
        <v>53.578433055446197</v>
      </c>
      <c r="AG64" s="185">
        <f t="shared" si="11"/>
        <v>7.2513824955976398E-4</v>
      </c>
      <c r="AH64" s="180">
        <f t="shared" si="16"/>
        <v>1.4994250670755079E-3</v>
      </c>
      <c r="AI64" s="189">
        <v>1857</v>
      </c>
      <c r="AJ64" s="125">
        <v>2190.4335999999998</v>
      </c>
      <c r="AK64" s="149">
        <v>634</v>
      </c>
      <c r="AL64" s="221">
        <v>453</v>
      </c>
      <c r="AM64" s="216">
        <v>76.10759493670885</v>
      </c>
      <c r="AN64" s="213">
        <v>4.7375160051216394</v>
      </c>
      <c r="AO64" s="127">
        <v>32.369</v>
      </c>
      <c r="AP64" s="133">
        <v>15.654</v>
      </c>
      <c r="AQ64" s="224">
        <f t="shared" si="13"/>
        <v>1.2201051248357424</v>
      </c>
      <c r="AR64" s="158">
        <v>1522</v>
      </c>
      <c r="AS64" s="229">
        <f t="shared" si="14"/>
        <v>0.89970930232558144</v>
      </c>
      <c r="AT64" s="230">
        <v>2064</v>
      </c>
      <c r="AU64" s="203">
        <v>18.847603661820138</v>
      </c>
      <c r="AV64" s="204">
        <v>65.751211631663978</v>
      </c>
      <c r="AW64" s="205">
        <v>15.401184706515886</v>
      </c>
      <c r="AX64" s="123">
        <v>4.3689</v>
      </c>
      <c r="AY64" s="281">
        <v>5.850340136054422</v>
      </c>
      <c r="AZ64" s="282">
        <v>39.863945578231288</v>
      </c>
      <c r="BA64" s="283">
        <f t="shared" si="15"/>
        <v>54.285714285714285</v>
      </c>
      <c r="BB64" s="234">
        <v>62.608695652173907</v>
      </c>
      <c r="BC64" s="20">
        <v>1995</v>
      </c>
      <c r="BD64" s="263" t="s">
        <v>556</v>
      </c>
      <c r="BE64" s="261" t="s">
        <v>556</v>
      </c>
      <c r="BF64" s="259" t="s">
        <v>556</v>
      </c>
      <c r="BG64" s="256">
        <v>26.149425287356319</v>
      </c>
      <c r="BH64" s="248" t="s">
        <v>556</v>
      </c>
      <c r="BI64" s="249">
        <v>29.486366518706404</v>
      </c>
      <c r="BJ64" s="308" t="s">
        <v>556</v>
      </c>
      <c r="BK64" s="307" t="s">
        <v>556</v>
      </c>
      <c r="BL64" s="319" t="s">
        <v>1728</v>
      </c>
      <c r="BM64" s="320" t="s">
        <v>556</v>
      </c>
      <c r="BN64" s="321" t="s">
        <v>1765</v>
      </c>
      <c r="BO64" s="145" t="s">
        <v>556</v>
      </c>
      <c r="BP64" s="14" t="s">
        <v>556</v>
      </c>
      <c r="BQ64" s="14" t="s">
        <v>557</v>
      </c>
    </row>
    <row r="65" spans="1:70" s="56" customFormat="1" ht="13.95" customHeight="1" x14ac:dyDescent="0.3">
      <c r="A65" s="56" t="s">
        <v>459</v>
      </c>
      <c r="B65" s="57" t="s">
        <v>462</v>
      </c>
      <c r="C65" s="55" t="s">
        <v>318</v>
      </c>
      <c r="D65" s="58">
        <v>2</v>
      </c>
      <c r="E65" s="59" t="s">
        <v>689</v>
      </c>
      <c r="F65" s="60" t="s">
        <v>455</v>
      </c>
      <c r="G65" s="61" t="s">
        <v>529</v>
      </c>
      <c r="H65" s="61" t="s">
        <v>529</v>
      </c>
      <c r="I65" s="62" t="s">
        <v>529</v>
      </c>
      <c r="J65" s="361" t="s">
        <v>1827</v>
      </c>
      <c r="K65" s="99" t="s">
        <v>1419</v>
      </c>
      <c r="L65" s="130">
        <v>494323636</v>
      </c>
      <c r="M65" s="109" t="s">
        <v>564</v>
      </c>
      <c r="N65" s="12" t="s">
        <v>1418</v>
      </c>
      <c r="O65" s="100"/>
      <c r="P65" s="131">
        <v>777941808</v>
      </c>
      <c r="Q65" s="67"/>
      <c r="R65" s="68"/>
      <c r="S65" s="99"/>
      <c r="T65" s="112"/>
      <c r="U65" s="170">
        <f>71000+626262</f>
        <v>697262</v>
      </c>
      <c r="V65" s="48">
        <f t="shared" si="2"/>
        <v>1218.9895104895104</v>
      </c>
      <c r="W65" s="171">
        <f t="shared" si="3"/>
        <v>1405.3366602640717</v>
      </c>
      <c r="X65" s="69">
        <v>32000</v>
      </c>
      <c r="Y65" s="48">
        <f t="shared" si="4"/>
        <v>55.944055944055947</v>
      </c>
      <c r="Z65" s="137">
        <f t="shared" si="5"/>
        <v>64.496234024585149</v>
      </c>
      <c r="AA65" s="69">
        <v>0</v>
      </c>
      <c r="AB65" s="48">
        <f t="shared" si="6"/>
        <v>0</v>
      </c>
      <c r="AC65" s="137">
        <f t="shared" si="7"/>
        <v>0</v>
      </c>
      <c r="AD65" s="70">
        <f t="shared" si="8"/>
        <v>729262</v>
      </c>
      <c r="AE65" s="71">
        <f t="shared" si="9"/>
        <v>1274.9335664335665</v>
      </c>
      <c r="AF65" s="193">
        <f t="shared" si="10"/>
        <v>1469.8328942886569</v>
      </c>
      <c r="AG65" s="185">
        <f t="shared" si="11"/>
        <v>2.201213401750679E-2</v>
      </c>
      <c r="AH65" s="180">
        <f t="shared" si="16"/>
        <v>5.9726617526617523E-2</v>
      </c>
      <c r="AI65" s="189">
        <v>572</v>
      </c>
      <c r="AJ65" s="125">
        <v>496.15300000000002</v>
      </c>
      <c r="AK65" s="149">
        <v>180</v>
      </c>
      <c r="AL65" s="221">
        <v>140</v>
      </c>
      <c r="AM65" s="216">
        <v>89.690721649484544</v>
      </c>
      <c r="AN65" s="213">
        <v>1.6460905349794237</v>
      </c>
      <c r="AO65" s="127">
        <v>6.6260000000000003</v>
      </c>
      <c r="AP65" s="133">
        <v>2.4420000000000002</v>
      </c>
      <c r="AQ65" s="224">
        <f t="shared" si="13"/>
        <v>1.2434782608695651</v>
      </c>
      <c r="AR65" s="158">
        <v>460</v>
      </c>
      <c r="AS65" s="229">
        <f t="shared" si="14"/>
        <v>1.2796420581655481</v>
      </c>
      <c r="AT65" s="230">
        <v>447</v>
      </c>
      <c r="AU65" s="203">
        <v>16.783216783216783</v>
      </c>
      <c r="AV65" s="204">
        <v>68.006993006993</v>
      </c>
      <c r="AW65" s="205">
        <v>15.209790209790212</v>
      </c>
      <c r="AX65" s="123">
        <v>2.5707</v>
      </c>
      <c r="AY65" s="281">
        <v>3.1496062992125982</v>
      </c>
      <c r="AZ65" s="282">
        <v>44.488188976377948</v>
      </c>
      <c r="BA65" s="283">
        <f t="shared" si="15"/>
        <v>52.362204724409459</v>
      </c>
      <c r="BB65" s="234">
        <v>77.685950413223139</v>
      </c>
      <c r="BC65" s="20">
        <v>2014</v>
      </c>
      <c r="BD65" s="263" t="s">
        <v>556</v>
      </c>
      <c r="BE65" s="261" t="s">
        <v>556</v>
      </c>
      <c r="BF65" s="260" t="s">
        <v>557</v>
      </c>
      <c r="BG65" s="256">
        <v>16.605166051660518</v>
      </c>
      <c r="BH65" s="248" t="s">
        <v>556</v>
      </c>
      <c r="BI65" s="249">
        <v>72.27533460803059</v>
      </c>
      <c r="BJ65" s="308" t="s">
        <v>556</v>
      </c>
      <c r="BK65" s="307" t="s">
        <v>750</v>
      </c>
      <c r="BL65" s="319" t="s">
        <v>1728</v>
      </c>
      <c r="BM65" s="320" t="s">
        <v>556</v>
      </c>
      <c r="BN65" s="321" t="s">
        <v>1828</v>
      </c>
      <c r="BO65" s="145" t="s">
        <v>557</v>
      </c>
      <c r="BP65" s="14" t="s">
        <v>557</v>
      </c>
      <c r="BQ65" s="14" t="s">
        <v>556</v>
      </c>
    </row>
    <row r="66" spans="1:70" s="72" customFormat="1" ht="13.95" customHeight="1" x14ac:dyDescent="0.3">
      <c r="A66" s="56" t="s">
        <v>459</v>
      </c>
      <c r="B66" s="57" t="s">
        <v>462</v>
      </c>
      <c r="C66" s="55" t="s">
        <v>132</v>
      </c>
      <c r="D66" s="58">
        <v>2</v>
      </c>
      <c r="E66" s="59" t="s">
        <v>506</v>
      </c>
      <c r="F66" s="60" t="s">
        <v>453</v>
      </c>
      <c r="G66" s="61" t="s">
        <v>113</v>
      </c>
      <c r="H66" s="61" t="s">
        <v>113</v>
      </c>
      <c r="I66" s="62" t="s">
        <v>113</v>
      </c>
      <c r="J66" s="63" t="s">
        <v>2499</v>
      </c>
      <c r="K66" s="99" t="s">
        <v>1039</v>
      </c>
      <c r="L66" s="130" t="s">
        <v>1829</v>
      </c>
      <c r="M66" s="109" t="s">
        <v>564</v>
      </c>
      <c r="N66" s="12" t="s">
        <v>1038</v>
      </c>
      <c r="O66" s="100"/>
      <c r="P66" s="131">
        <v>732732034</v>
      </c>
      <c r="Q66" s="67"/>
      <c r="R66" s="68"/>
      <c r="S66" s="99"/>
      <c r="T66" s="65"/>
      <c r="U66" s="170">
        <v>400000</v>
      </c>
      <c r="V66" s="48">
        <f t="shared" si="2"/>
        <v>1913.8755980861245</v>
      </c>
      <c r="W66" s="171">
        <f t="shared" si="3"/>
        <v>457.40177268344013</v>
      </c>
      <c r="X66" s="69">
        <v>208480</v>
      </c>
      <c r="Y66" s="48">
        <f t="shared" si="4"/>
        <v>997.51196172248808</v>
      </c>
      <c r="Z66" s="137">
        <f t="shared" si="5"/>
        <v>238.397803922609</v>
      </c>
      <c r="AA66" s="69">
        <v>0</v>
      </c>
      <c r="AB66" s="48">
        <f t="shared" si="6"/>
        <v>0</v>
      </c>
      <c r="AC66" s="137">
        <f t="shared" si="7"/>
        <v>0</v>
      </c>
      <c r="AD66" s="70">
        <f t="shared" si="8"/>
        <v>608480</v>
      </c>
      <c r="AE66" s="71">
        <f t="shared" si="9"/>
        <v>2911.3875598086124</v>
      </c>
      <c r="AF66" s="193">
        <f t="shared" si="10"/>
        <v>695.79957660604919</v>
      </c>
      <c r="AG66" s="185">
        <f t="shared" si="11"/>
        <v>3.9992113046335855E-2</v>
      </c>
      <c r="AH66" s="180">
        <f t="shared" si="16"/>
        <v>0.17817862371888724</v>
      </c>
      <c r="AI66" s="189">
        <v>209</v>
      </c>
      <c r="AJ66" s="125">
        <v>874.50469999999996</v>
      </c>
      <c r="AK66" s="149">
        <v>152</v>
      </c>
      <c r="AL66" s="221">
        <v>69</v>
      </c>
      <c r="AM66" s="216">
        <v>100</v>
      </c>
      <c r="AN66" s="213">
        <v>41.212121212121211</v>
      </c>
      <c r="AO66" s="127">
        <v>3.0430000000000001</v>
      </c>
      <c r="AP66" s="133">
        <v>0.68300000000000005</v>
      </c>
      <c r="AQ66" s="224">
        <f t="shared" si="13"/>
        <v>0.89316239316239321</v>
      </c>
      <c r="AR66" s="158">
        <v>234</v>
      </c>
      <c r="AS66" s="229">
        <f t="shared" si="14"/>
        <v>0.3270735524256651</v>
      </c>
      <c r="AT66" s="230">
        <v>639</v>
      </c>
      <c r="AU66" s="203">
        <v>11.004784688995215</v>
      </c>
      <c r="AV66" s="204">
        <v>65.071770334928232</v>
      </c>
      <c r="AW66" s="205">
        <v>23.923444976076556</v>
      </c>
      <c r="AX66" s="123">
        <v>6.1538000000000004</v>
      </c>
      <c r="AY66" s="281">
        <v>12.328767123287671</v>
      </c>
      <c r="AZ66" s="282">
        <v>36.986301369863014</v>
      </c>
      <c r="BA66" s="283">
        <f t="shared" si="15"/>
        <v>50.68493150684931</v>
      </c>
      <c r="BB66" s="234">
        <v>93.939393939393938</v>
      </c>
      <c r="BC66" s="120" t="s">
        <v>1811</v>
      </c>
      <c r="BD66" s="263" t="s">
        <v>556</v>
      </c>
      <c r="BE66" s="261" t="s">
        <v>556</v>
      </c>
      <c r="BF66" s="260" t="s">
        <v>557</v>
      </c>
      <c r="BG66" s="256">
        <v>22.916666666666664</v>
      </c>
      <c r="BH66" s="254" t="s">
        <v>557</v>
      </c>
      <c r="BI66" s="249">
        <v>0</v>
      </c>
      <c r="BJ66" s="309" t="s">
        <v>557</v>
      </c>
      <c r="BK66" s="307" t="s">
        <v>557</v>
      </c>
      <c r="BL66" s="319" t="s">
        <v>1728</v>
      </c>
      <c r="BM66" s="320" t="s">
        <v>557</v>
      </c>
      <c r="BN66" s="321" t="s">
        <v>1791</v>
      </c>
      <c r="BO66" s="145" t="s">
        <v>557</v>
      </c>
      <c r="BP66" s="14" t="s">
        <v>556</v>
      </c>
      <c r="BQ66" s="14" t="s">
        <v>557</v>
      </c>
      <c r="BR66" s="80"/>
    </row>
    <row r="67" spans="1:70" s="56" customFormat="1" ht="13.95" customHeight="1" x14ac:dyDescent="0.3">
      <c r="A67" s="56" t="s">
        <v>459</v>
      </c>
      <c r="B67" s="57" t="s">
        <v>462</v>
      </c>
      <c r="C67" s="55" t="s">
        <v>19</v>
      </c>
      <c r="D67" s="58">
        <v>1</v>
      </c>
      <c r="E67" s="59"/>
      <c r="F67" s="60" t="s">
        <v>452</v>
      </c>
      <c r="G67" s="61" t="s">
        <v>11</v>
      </c>
      <c r="H67" s="61" t="s">
        <v>11</v>
      </c>
      <c r="I67" s="62" t="s">
        <v>11</v>
      </c>
      <c r="J67" s="63" t="s">
        <v>1830</v>
      </c>
      <c r="K67" s="99" t="s">
        <v>809</v>
      </c>
      <c r="L67" s="130">
        <v>495447347</v>
      </c>
      <c r="M67" s="109" t="s">
        <v>564</v>
      </c>
      <c r="N67" s="12" t="s">
        <v>810</v>
      </c>
      <c r="O67" s="100"/>
      <c r="P67" s="131">
        <v>602526950</v>
      </c>
      <c r="Q67" s="67"/>
      <c r="R67" s="68"/>
      <c r="S67" s="99"/>
      <c r="T67" s="65"/>
      <c r="U67" s="170">
        <v>0</v>
      </c>
      <c r="V67" s="48">
        <f t="shared" si="2"/>
        <v>0</v>
      </c>
      <c r="W67" s="171">
        <f t="shared" si="3"/>
        <v>0</v>
      </c>
      <c r="X67" s="69">
        <v>0</v>
      </c>
      <c r="Y67" s="48">
        <f t="shared" si="4"/>
        <v>0</v>
      </c>
      <c r="Z67" s="137">
        <f t="shared" si="5"/>
        <v>0</v>
      </c>
      <c r="AA67" s="69">
        <v>0</v>
      </c>
      <c r="AB67" s="48">
        <f t="shared" si="6"/>
        <v>0</v>
      </c>
      <c r="AC67" s="137">
        <f t="shared" si="7"/>
        <v>0</v>
      </c>
      <c r="AD67" s="70">
        <f t="shared" si="8"/>
        <v>0</v>
      </c>
      <c r="AE67" s="71">
        <f t="shared" si="9"/>
        <v>0</v>
      </c>
      <c r="AF67" s="193">
        <f t="shared" si="10"/>
        <v>0</v>
      </c>
      <c r="AG67" s="185">
        <f t="shared" si="11"/>
        <v>0</v>
      </c>
      <c r="AH67" s="180">
        <f t="shared" si="16"/>
        <v>0</v>
      </c>
      <c r="AI67" s="189">
        <v>156</v>
      </c>
      <c r="AJ67" s="125">
        <v>259.52960000000002</v>
      </c>
      <c r="AK67" s="149">
        <v>69</v>
      </c>
      <c r="AL67" s="221">
        <v>53</v>
      </c>
      <c r="AM67" s="216">
        <v>100</v>
      </c>
      <c r="AN67" s="213">
        <v>5.7142857142857144</v>
      </c>
      <c r="AO67" s="127">
        <v>7.4219999999999997</v>
      </c>
      <c r="AP67" s="133">
        <v>6.3550000000000004</v>
      </c>
      <c r="AQ67" s="224">
        <f t="shared" si="13"/>
        <v>1.5145631067961165</v>
      </c>
      <c r="AR67" s="158">
        <v>103</v>
      </c>
      <c r="AS67" s="229">
        <f t="shared" si="14"/>
        <v>0.78</v>
      </c>
      <c r="AT67" s="230">
        <v>200</v>
      </c>
      <c r="AU67" s="203">
        <v>20</v>
      </c>
      <c r="AV67" s="204">
        <v>71.764705882352942</v>
      </c>
      <c r="AW67" s="205">
        <v>8.235294117647058</v>
      </c>
      <c r="AX67" s="123">
        <v>4.9587000000000003</v>
      </c>
      <c r="AY67" s="281">
        <v>6.8493150684931505</v>
      </c>
      <c r="AZ67" s="282">
        <v>21.917808219178081</v>
      </c>
      <c r="BA67" s="283">
        <f t="shared" si="15"/>
        <v>71.232876712328761</v>
      </c>
      <c r="BB67" s="234">
        <v>96.774193548387103</v>
      </c>
      <c r="BC67" s="20">
        <v>2013</v>
      </c>
      <c r="BD67" s="263" t="s">
        <v>556</v>
      </c>
      <c r="BE67" s="261" t="s">
        <v>556</v>
      </c>
      <c r="BF67" s="260" t="s">
        <v>557</v>
      </c>
      <c r="BG67" s="256">
        <v>6.4935064935064926</v>
      </c>
      <c r="BH67" s="248" t="s">
        <v>556</v>
      </c>
      <c r="BI67" s="249">
        <v>71.428571428571431</v>
      </c>
      <c r="BJ67" s="309" t="s">
        <v>557</v>
      </c>
      <c r="BK67" s="307" t="s">
        <v>557</v>
      </c>
      <c r="BL67" s="319" t="s">
        <v>1728</v>
      </c>
      <c r="BM67" s="320" t="s">
        <v>556</v>
      </c>
      <c r="BN67" s="321" t="s">
        <v>557</v>
      </c>
      <c r="BO67" s="145" t="s">
        <v>557</v>
      </c>
      <c r="BP67" s="14" t="s">
        <v>557</v>
      </c>
      <c r="BQ67" s="14" t="s">
        <v>557</v>
      </c>
    </row>
    <row r="68" spans="1:70" s="56" customFormat="1" ht="13.95" customHeight="1" x14ac:dyDescent="0.3">
      <c r="A68" s="56" t="s">
        <v>459</v>
      </c>
      <c r="B68" s="57" t="s">
        <v>462</v>
      </c>
      <c r="C68" s="55" t="s">
        <v>319</v>
      </c>
      <c r="D68" s="58">
        <v>1</v>
      </c>
      <c r="E68" s="97" t="s">
        <v>890</v>
      </c>
      <c r="F68" s="60" t="s">
        <v>455</v>
      </c>
      <c r="G68" s="61" t="s">
        <v>304</v>
      </c>
      <c r="H68" s="61" t="s">
        <v>304</v>
      </c>
      <c r="I68" s="62" t="s">
        <v>304</v>
      </c>
      <c r="J68" s="63" t="s">
        <v>1831</v>
      </c>
      <c r="K68" s="99" t="s">
        <v>1420</v>
      </c>
      <c r="L68" s="130">
        <v>494663193</v>
      </c>
      <c r="M68" s="109" t="s">
        <v>537</v>
      </c>
      <c r="N68" s="12" t="s">
        <v>1832</v>
      </c>
      <c r="O68" s="100" t="s">
        <v>1421</v>
      </c>
      <c r="P68" s="131">
        <v>724192075</v>
      </c>
      <c r="Q68" s="67"/>
      <c r="R68" s="68"/>
      <c r="S68" s="99"/>
      <c r="T68" s="112"/>
      <c r="U68" s="170">
        <v>285000</v>
      </c>
      <c r="V68" s="48">
        <f t="shared" si="2"/>
        <v>504.42477876106193</v>
      </c>
      <c r="W68" s="171">
        <f t="shared" si="3"/>
        <v>88.735968274743001</v>
      </c>
      <c r="X68" s="69">
        <f>804662+127000</f>
        <v>931662</v>
      </c>
      <c r="Y68" s="48">
        <f t="shared" si="4"/>
        <v>1648.9592920353982</v>
      </c>
      <c r="Z68" s="137">
        <f t="shared" si="5"/>
        <v>290.07694622731094</v>
      </c>
      <c r="AA68" s="69">
        <v>0</v>
      </c>
      <c r="AB68" s="48">
        <f t="shared" si="6"/>
        <v>0</v>
      </c>
      <c r="AC68" s="137">
        <f t="shared" si="7"/>
        <v>0</v>
      </c>
      <c r="AD68" s="70">
        <f t="shared" si="8"/>
        <v>1216662</v>
      </c>
      <c r="AE68" s="71">
        <f t="shared" si="9"/>
        <v>2153.38407079646</v>
      </c>
      <c r="AF68" s="193">
        <f t="shared" si="10"/>
        <v>378.8129145020539</v>
      </c>
      <c r="AG68" s="185">
        <f t="shared" si="11"/>
        <v>1.247986460149759E-2</v>
      </c>
      <c r="AH68" s="180">
        <f t="shared" si="16"/>
        <v>2.5241950207468878E-2</v>
      </c>
      <c r="AI68" s="189">
        <v>565</v>
      </c>
      <c r="AJ68" s="125">
        <v>3211.7754</v>
      </c>
      <c r="AK68" s="149">
        <v>661</v>
      </c>
      <c r="AL68" s="221">
        <v>138</v>
      </c>
      <c r="AM68" s="216">
        <v>51.091703056768559</v>
      </c>
      <c r="AN68" s="213">
        <v>18.654434250764528</v>
      </c>
      <c r="AO68" s="127">
        <v>19.498000000000001</v>
      </c>
      <c r="AP68" s="133">
        <v>9.64</v>
      </c>
      <c r="AQ68" s="224">
        <f t="shared" si="13"/>
        <v>0.96252129471890968</v>
      </c>
      <c r="AR68" s="158">
        <v>587</v>
      </c>
      <c r="AS68" s="229">
        <f t="shared" si="14"/>
        <v>0.31993204983012458</v>
      </c>
      <c r="AT68" s="230">
        <v>1766</v>
      </c>
      <c r="AU68" s="203">
        <v>13.097345132743362</v>
      </c>
      <c r="AV68" s="204">
        <v>66.548672566371692</v>
      </c>
      <c r="AW68" s="205">
        <v>20.353982300884958</v>
      </c>
      <c r="AX68" s="123">
        <v>3.7233999999999998</v>
      </c>
      <c r="AY68" s="281">
        <v>6.640625</v>
      </c>
      <c r="AZ68" s="282">
        <v>17.96875</v>
      </c>
      <c r="BA68" s="283">
        <f t="shared" si="15"/>
        <v>75.390625</v>
      </c>
      <c r="BB68" s="234">
        <v>47.61904761904762</v>
      </c>
      <c r="BC68" s="20">
        <v>2011</v>
      </c>
      <c r="BD68" s="263" t="s">
        <v>556</v>
      </c>
      <c r="BE68" s="261" t="s">
        <v>556</v>
      </c>
      <c r="BF68" s="259" t="s">
        <v>556</v>
      </c>
      <c r="BG68" s="256">
        <v>71.772805507745261</v>
      </c>
      <c r="BH68" s="254" t="s">
        <v>557</v>
      </c>
      <c r="BI68" s="249">
        <v>0</v>
      </c>
      <c r="BJ68" s="308" t="s">
        <v>556</v>
      </c>
      <c r="BK68" s="307" t="s">
        <v>556</v>
      </c>
      <c r="BL68" s="319" t="s">
        <v>1728</v>
      </c>
      <c r="BM68" s="320" t="s">
        <v>556</v>
      </c>
      <c r="BN68" s="321" t="s">
        <v>1833</v>
      </c>
      <c r="BO68" s="145" t="s">
        <v>556</v>
      </c>
      <c r="BP68" s="14">
        <v>3</v>
      </c>
      <c r="BQ68" s="14" t="s">
        <v>557</v>
      </c>
    </row>
    <row r="69" spans="1:70" s="56" customFormat="1" ht="13.95" customHeight="1" x14ac:dyDescent="0.3">
      <c r="A69" s="3" t="s">
        <v>459</v>
      </c>
      <c r="B69" s="57" t="s">
        <v>462</v>
      </c>
      <c r="C69" s="55" t="s">
        <v>133</v>
      </c>
      <c r="D69" s="58">
        <v>3</v>
      </c>
      <c r="E69" s="59" t="s">
        <v>507</v>
      </c>
      <c r="F69" s="60" t="s">
        <v>453</v>
      </c>
      <c r="G69" s="61" t="s">
        <v>113</v>
      </c>
      <c r="H69" s="61" t="s">
        <v>114</v>
      </c>
      <c r="I69" s="62" t="s">
        <v>115</v>
      </c>
      <c r="J69" s="63" t="s">
        <v>1834</v>
      </c>
      <c r="K69" s="100" t="s">
        <v>1041</v>
      </c>
      <c r="L69" s="131">
        <v>493596360</v>
      </c>
      <c r="M69" s="109" t="s">
        <v>564</v>
      </c>
      <c r="N69" s="12" t="s">
        <v>1040</v>
      </c>
      <c r="O69" s="100"/>
      <c r="P69" s="131">
        <v>725081036</v>
      </c>
      <c r="Q69" s="67"/>
      <c r="R69" s="12"/>
      <c r="S69" s="100"/>
      <c r="T69" s="66"/>
      <c r="U69" s="170">
        <v>31959</v>
      </c>
      <c r="V69" s="48">
        <f t="shared" si="2"/>
        <v>45.331914893617018</v>
      </c>
      <c r="W69" s="171">
        <f t="shared" si="3"/>
        <v>18.083678901220303</v>
      </c>
      <c r="X69" s="69">
        <v>30000</v>
      </c>
      <c r="Y69" s="48">
        <f t="shared" si="4"/>
        <v>42.553191489361701</v>
      </c>
      <c r="Z69" s="137">
        <f t="shared" si="5"/>
        <v>16.975198442898996</v>
      </c>
      <c r="AA69" s="69">
        <v>650000</v>
      </c>
      <c r="AB69" s="48">
        <f t="shared" si="6"/>
        <v>921.98581560283685</v>
      </c>
      <c r="AC69" s="137">
        <f t="shared" si="7"/>
        <v>367.79596626281159</v>
      </c>
      <c r="AD69" s="70">
        <f t="shared" si="8"/>
        <v>711959</v>
      </c>
      <c r="AE69" s="71">
        <f t="shared" si="9"/>
        <v>1009.8709219858156</v>
      </c>
      <c r="AF69" s="193">
        <f t="shared" si="10"/>
        <v>402.8548436069309</v>
      </c>
      <c r="AG69" s="185">
        <f t="shared" si="11"/>
        <v>1.1502690039583164E-2</v>
      </c>
      <c r="AH69" s="180">
        <f t="shared" si="16"/>
        <v>2.4703643303261621E-2</v>
      </c>
      <c r="AI69" s="189">
        <v>705</v>
      </c>
      <c r="AJ69" s="125">
        <v>1767.2842000000001</v>
      </c>
      <c r="AK69" s="149">
        <v>346</v>
      </c>
      <c r="AL69" s="221">
        <v>198</v>
      </c>
      <c r="AM69" s="216">
        <v>80.223880597014926</v>
      </c>
      <c r="AN69" s="213">
        <v>23.244552058111374</v>
      </c>
      <c r="AO69" s="127">
        <v>12.379</v>
      </c>
      <c r="AP69" s="133">
        <v>5.7640000000000002</v>
      </c>
      <c r="AQ69" s="224">
        <f t="shared" si="13"/>
        <v>0.88235294117647056</v>
      </c>
      <c r="AR69" s="158">
        <v>799</v>
      </c>
      <c r="AS69" s="229">
        <f t="shared" si="14"/>
        <v>0.52377414561664193</v>
      </c>
      <c r="AT69" s="230">
        <v>1346</v>
      </c>
      <c r="AU69" s="203">
        <v>13.900709219858157</v>
      </c>
      <c r="AV69" s="204">
        <v>69.078014184397162</v>
      </c>
      <c r="AW69" s="205">
        <v>17.021276595744681</v>
      </c>
      <c r="AX69" s="123">
        <v>2.2633999999999999</v>
      </c>
      <c r="AY69" s="281">
        <v>6.25</v>
      </c>
      <c r="AZ69" s="282">
        <v>48.511904761904759</v>
      </c>
      <c r="BA69" s="283">
        <f t="shared" si="15"/>
        <v>45.238095238095241</v>
      </c>
      <c r="BB69" s="234">
        <v>82.84023668639054</v>
      </c>
      <c r="BC69" s="19">
        <v>2010</v>
      </c>
      <c r="BD69" s="263" t="s">
        <v>556</v>
      </c>
      <c r="BE69" s="261" t="s">
        <v>556</v>
      </c>
      <c r="BF69" s="259" t="s">
        <v>556</v>
      </c>
      <c r="BG69" s="256">
        <v>70.537010159651672</v>
      </c>
      <c r="BH69" s="254" t="s">
        <v>557</v>
      </c>
      <c r="BI69" s="249">
        <v>0</v>
      </c>
      <c r="BJ69" s="308" t="s">
        <v>556</v>
      </c>
      <c r="BK69" s="307" t="s">
        <v>750</v>
      </c>
      <c r="BL69" s="319" t="s">
        <v>1728</v>
      </c>
      <c r="BM69" s="320" t="s">
        <v>556</v>
      </c>
      <c r="BN69" s="321" t="s">
        <v>1835</v>
      </c>
      <c r="BO69" s="21" t="s">
        <v>556</v>
      </c>
      <c r="BP69" s="10" t="s">
        <v>556</v>
      </c>
      <c r="BQ69" s="10" t="s">
        <v>556</v>
      </c>
      <c r="BR69" s="72"/>
    </row>
    <row r="70" spans="1:70" s="72" customFormat="1" ht="13.95" customHeight="1" x14ac:dyDescent="0.3">
      <c r="A70" s="3" t="s">
        <v>459</v>
      </c>
      <c r="B70" s="57" t="s">
        <v>462</v>
      </c>
      <c r="C70" s="55" t="s">
        <v>134</v>
      </c>
      <c r="D70" s="58">
        <v>1</v>
      </c>
      <c r="E70" s="59"/>
      <c r="F70" s="60" t="s">
        <v>453</v>
      </c>
      <c r="G70" s="61" t="s">
        <v>113</v>
      </c>
      <c r="H70" s="61" t="s">
        <v>113</v>
      </c>
      <c r="I70" s="62" t="s">
        <v>113</v>
      </c>
      <c r="J70" s="117" t="s">
        <v>1836</v>
      </c>
      <c r="K70" s="100"/>
      <c r="L70" s="131"/>
      <c r="M70" s="109" t="s">
        <v>564</v>
      </c>
      <c r="N70" s="12" t="s">
        <v>1042</v>
      </c>
      <c r="O70" s="100" t="s">
        <v>1043</v>
      </c>
      <c r="P70" s="131">
        <v>724091359</v>
      </c>
      <c r="Q70" s="67"/>
      <c r="R70" s="12"/>
      <c r="S70" s="100"/>
      <c r="T70" s="66"/>
      <c r="U70" s="170">
        <v>0</v>
      </c>
      <c r="V70" s="48">
        <f t="shared" ref="V70:V133" si="17">IF(U70=0,0,U70/AI70)</f>
        <v>0</v>
      </c>
      <c r="W70" s="171">
        <f t="shared" ref="W70:W133" si="18">IF(U70=0,0,U70/AJ70)</f>
        <v>0</v>
      </c>
      <c r="X70" s="69">
        <v>0</v>
      </c>
      <c r="Y70" s="48">
        <f t="shared" ref="Y70:Y133" si="19">IF(X70=0,0,X70/AI70)</f>
        <v>0</v>
      </c>
      <c r="Z70" s="137">
        <f t="shared" ref="Z70:Z133" si="20">IF(X70=0,0,X70/AJ70)</f>
        <v>0</v>
      </c>
      <c r="AA70" s="69">
        <v>0</v>
      </c>
      <c r="AB70" s="48">
        <f t="shared" ref="AB70:AB133" si="21">IF(AA70=0,0,AA70/AI70)</f>
        <v>0</v>
      </c>
      <c r="AC70" s="137">
        <f t="shared" ref="AC70:AC133" si="22">IF(AA70=0,0,AA70/AJ70)</f>
        <v>0</v>
      </c>
      <c r="AD70" s="70">
        <f t="shared" ref="AD70:AD133" si="23">IF(U70+X70+AA70=0,0,U70+X70+AA70)</f>
        <v>0</v>
      </c>
      <c r="AE70" s="71">
        <f t="shared" ref="AE70:AE133" si="24">IF(AD70=0,0,AD70/AI70)</f>
        <v>0</v>
      </c>
      <c r="AF70" s="193">
        <f t="shared" ref="AF70:AF133" si="25">IF(AD70=0,0,AD70/AJ70)</f>
        <v>0</v>
      </c>
      <c r="AG70" s="185">
        <f t="shared" ref="AG70:AG133" si="26">IF(AD70=0,0,1/(AO70*5000000/AD70))</f>
        <v>0</v>
      </c>
      <c r="AH70" s="180">
        <f t="shared" ref="AH70:AH104" si="27">IF(AD70=0,0,1/(AP70*5000000/AD70))</f>
        <v>0</v>
      </c>
      <c r="AI70" s="189">
        <v>52</v>
      </c>
      <c r="AJ70" s="125">
        <v>187.124</v>
      </c>
      <c r="AK70" s="149">
        <v>30</v>
      </c>
      <c r="AL70" s="221">
        <v>13</v>
      </c>
      <c r="AM70" s="216">
        <v>100</v>
      </c>
      <c r="AN70" s="213">
        <v>46.428571428571431</v>
      </c>
      <c r="AO70" s="127">
        <v>0.65100000000000002</v>
      </c>
      <c r="AP70" s="133">
        <v>0</v>
      </c>
      <c r="AQ70" s="224">
        <f t="shared" ref="AQ70:AQ133" si="28">AI70/AR70</f>
        <v>1.0196078431372548</v>
      </c>
      <c r="AR70" s="158">
        <v>51</v>
      </c>
      <c r="AS70" s="229">
        <f t="shared" ref="AS70:AS133" si="29">AI70/AT70</f>
        <v>0.41935483870967744</v>
      </c>
      <c r="AT70" s="230">
        <v>124</v>
      </c>
      <c r="AU70" s="203">
        <v>25</v>
      </c>
      <c r="AV70" s="204">
        <v>57.692307692307693</v>
      </c>
      <c r="AW70" s="205">
        <v>17.307692307692307</v>
      </c>
      <c r="AX70" s="123">
        <v>3.2258</v>
      </c>
      <c r="AY70" s="281">
        <v>10</v>
      </c>
      <c r="AZ70" s="282">
        <v>40</v>
      </c>
      <c r="BA70" s="283">
        <f t="shared" ref="BA70:BA133" si="30">100-AY70-AZ70</f>
        <v>50</v>
      </c>
      <c r="BB70" s="234">
        <v>100</v>
      </c>
      <c r="BC70" s="19" t="s">
        <v>557</v>
      </c>
      <c r="BD70" s="264" t="s">
        <v>557</v>
      </c>
      <c r="BE70" s="262" t="s">
        <v>557</v>
      </c>
      <c r="BF70" s="260" t="s">
        <v>557</v>
      </c>
      <c r="BG70" s="256">
        <v>0</v>
      </c>
      <c r="BH70" s="254" t="s">
        <v>557</v>
      </c>
      <c r="BI70" s="249">
        <v>0</v>
      </c>
      <c r="BJ70" s="309" t="s">
        <v>557</v>
      </c>
      <c r="BK70" s="307" t="s">
        <v>557</v>
      </c>
      <c r="BL70" s="319" t="s">
        <v>557</v>
      </c>
      <c r="BM70" s="320" t="s">
        <v>557</v>
      </c>
      <c r="BN70" s="321" t="s">
        <v>1767</v>
      </c>
      <c r="BO70" s="21" t="s">
        <v>557</v>
      </c>
      <c r="BP70" s="10" t="s">
        <v>557</v>
      </c>
      <c r="BQ70" s="10" t="s">
        <v>557</v>
      </c>
      <c r="BR70" s="3"/>
    </row>
    <row r="71" spans="1:70" s="56" customFormat="1" ht="13.95" customHeight="1" x14ac:dyDescent="0.3">
      <c r="A71" s="56" t="s">
        <v>459</v>
      </c>
      <c r="B71" s="57" t="s">
        <v>462</v>
      </c>
      <c r="C71" s="55" t="s">
        <v>21</v>
      </c>
      <c r="D71" s="58">
        <v>1</v>
      </c>
      <c r="E71" s="59"/>
      <c r="F71" s="60" t="s">
        <v>452</v>
      </c>
      <c r="G71" s="61" t="s">
        <v>11</v>
      </c>
      <c r="H71" s="61" t="s">
        <v>11</v>
      </c>
      <c r="I71" s="62" t="s">
        <v>17</v>
      </c>
      <c r="J71" s="63" t="s">
        <v>1837</v>
      </c>
      <c r="K71" s="99" t="s">
        <v>811</v>
      </c>
      <c r="L71" s="130">
        <v>495431786</v>
      </c>
      <c r="M71" s="109" t="s">
        <v>564</v>
      </c>
      <c r="N71" s="12" t="s">
        <v>812</v>
      </c>
      <c r="O71" s="100"/>
      <c r="P71" s="131">
        <v>608978884</v>
      </c>
      <c r="Q71" s="67"/>
      <c r="R71" s="68"/>
      <c r="S71" s="99"/>
      <c r="T71" s="65"/>
      <c r="U71" s="170">
        <v>0</v>
      </c>
      <c r="V71" s="48">
        <f t="shared" si="17"/>
        <v>0</v>
      </c>
      <c r="W71" s="171">
        <f t="shared" si="18"/>
        <v>0</v>
      </c>
      <c r="X71" s="69">
        <v>0</v>
      </c>
      <c r="Y71" s="48">
        <f t="shared" si="19"/>
        <v>0</v>
      </c>
      <c r="Z71" s="137">
        <f t="shared" si="20"/>
        <v>0</v>
      </c>
      <c r="AA71" s="69">
        <v>0</v>
      </c>
      <c r="AB71" s="48">
        <f t="shared" si="21"/>
        <v>0</v>
      </c>
      <c r="AC71" s="137">
        <f t="shared" si="22"/>
        <v>0</v>
      </c>
      <c r="AD71" s="70">
        <f t="shared" si="23"/>
        <v>0</v>
      </c>
      <c r="AE71" s="71">
        <f t="shared" si="24"/>
        <v>0</v>
      </c>
      <c r="AF71" s="193">
        <f t="shared" si="25"/>
        <v>0</v>
      </c>
      <c r="AG71" s="185">
        <f t="shared" si="26"/>
        <v>0</v>
      </c>
      <c r="AH71" s="180">
        <f t="shared" si="27"/>
        <v>0</v>
      </c>
      <c r="AI71" s="189">
        <v>235</v>
      </c>
      <c r="AJ71" s="125">
        <v>350.51159999999999</v>
      </c>
      <c r="AK71" s="149">
        <v>134</v>
      </c>
      <c r="AL71" s="221">
        <v>61</v>
      </c>
      <c r="AM71" s="216">
        <v>100</v>
      </c>
      <c r="AN71" s="213">
        <v>3.2608695652173911</v>
      </c>
      <c r="AO71" s="127">
        <v>2.1150000000000002</v>
      </c>
      <c r="AP71" s="133">
        <v>0.14699999999999999</v>
      </c>
      <c r="AQ71" s="224">
        <f t="shared" si="28"/>
        <v>2.4226804123711339</v>
      </c>
      <c r="AR71" s="158">
        <v>97</v>
      </c>
      <c r="AS71" s="229">
        <f t="shared" si="29"/>
        <v>0.92519685039370081</v>
      </c>
      <c r="AT71" s="230">
        <v>254</v>
      </c>
      <c r="AU71" s="203">
        <v>20.425531914893615</v>
      </c>
      <c r="AV71" s="204">
        <v>67.659574468085111</v>
      </c>
      <c r="AW71" s="205">
        <v>11.914893617021278</v>
      </c>
      <c r="AX71" s="123">
        <v>3.1055999999999999</v>
      </c>
      <c r="AY71" s="281">
        <v>4.395604395604396</v>
      </c>
      <c r="AZ71" s="282">
        <v>25.274725274725274</v>
      </c>
      <c r="BA71" s="283">
        <f t="shared" si="30"/>
        <v>70.329670329670336</v>
      </c>
      <c r="BB71" s="234">
        <v>33.333333333333329</v>
      </c>
      <c r="BC71" s="20">
        <v>2009</v>
      </c>
      <c r="BD71" s="263" t="s">
        <v>556</v>
      </c>
      <c r="BE71" s="261" t="s">
        <v>556</v>
      </c>
      <c r="BF71" s="259" t="s">
        <v>556</v>
      </c>
      <c r="BG71" s="256">
        <v>86.893203883495147</v>
      </c>
      <c r="BH71" s="254" t="s">
        <v>557</v>
      </c>
      <c r="BI71" s="249">
        <v>0</v>
      </c>
      <c r="BJ71" s="309" t="s">
        <v>557</v>
      </c>
      <c r="BK71" s="307" t="s">
        <v>557</v>
      </c>
      <c r="BL71" s="319" t="s">
        <v>1728</v>
      </c>
      <c r="BM71" s="320" t="s">
        <v>557</v>
      </c>
      <c r="BN71" s="321" t="s">
        <v>1838</v>
      </c>
      <c r="BO71" s="145" t="s">
        <v>557</v>
      </c>
      <c r="BP71" s="14" t="s">
        <v>557</v>
      </c>
      <c r="BQ71" s="14" t="s">
        <v>557</v>
      </c>
      <c r="BR71" s="3"/>
    </row>
    <row r="72" spans="1:70" s="56" customFormat="1" ht="13.95" customHeight="1" x14ac:dyDescent="0.3">
      <c r="A72" s="56" t="s">
        <v>459</v>
      </c>
      <c r="B72" s="57" t="s">
        <v>462</v>
      </c>
      <c r="C72" s="55" t="s">
        <v>135</v>
      </c>
      <c r="D72" s="58">
        <v>1</v>
      </c>
      <c r="E72" s="97" t="s">
        <v>508</v>
      </c>
      <c r="F72" s="60" t="s">
        <v>453</v>
      </c>
      <c r="G72" s="61" t="s">
        <v>117</v>
      </c>
      <c r="H72" s="61" t="s">
        <v>117</v>
      </c>
      <c r="I72" s="62" t="s">
        <v>117</v>
      </c>
      <c r="J72" s="63" t="s">
        <v>1839</v>
      </c>
      <c r="K72" s="99" t="s">
        <v>1045</v>
      </c>
      <c r="L72" s="130">
        <v>493699212</v>
      </c>
      <c r="M72" s="109" t="s">
        <v>537</v>
      </c>
      <c r="N72" s="12" t="s">
        <v>1044</v>
      </c>
      <c r="O72" s="100"/>
      <c r="P72" s="131">
        <v>724180092</v>
      </c>
      <c r="Q72" s="67"/>
      <c r="R72" s="68"/>
      <c r="S72" s="99"/>
      <c r="T72" s="65"/>
      <c r="U72" s="170">
        <f>295500+343700</f>
        <v>639200</v>
      </c>
      <c r="V72" s="48">
        <f t="shared" si="17"/>
        <v>1117.4825174825176</v>
      </c>
      <c r="W72" s="171">
        <f t="shared" si="18"/>
        <v>1098.6357288645397</v>
      </c>
      <c r="X72" s="69">
        <v>53000</v>
      </c>
      <c r="Y72" s="48">
        <f t="shared" si="19"/>
        <v>92.657342657342653</v>
      </c>
      <c r="Z72" s="137">
        <f t="shared" si="20"/>
        <v>91.094639596089806</v>
      </c>
      <c r="AA72" s="69">
        <v>0</v>
      </c>
      <c r="AB72" s="48">
        <f t="shared" si="21"/>
        <v>0</v>
      </c>
      <c r="AC72" s="137">
        <f t="shared" si="22"/>
        <v>0</v>
      </c>
      <c r="AD72" s="70">
        <f t="shared" si="23"/>
        <v>692200</v>
      </c>
      <c r="AE72" s="71">
        <f t="shared" si="24"/>
        <v>1210.13986013986</v>
      </c>
      <c r="AF72" s="193">
        <f t="shared" si="25"/>
        <v>1189.7303684606295</v>
      </c>
      <c r="AG72" s="185">
        <f t="shared" si="26"/>
        <v>2.1570582736054847E-2</v>
      </c>
      <c r="AH72" s="180">
        <f t="shared" si="27"/>
        <v>0.20299120234604101</v>
      </c>
      <c r="AI72" s="189">
        <v>572</v>
      </c>
      <c r="AJ72" s="125">
        <v>581.8125</v>
      </c>
      <c r="AK72" s="149">
        <v>222</v>
      </c>
      <c r="AL72" s="221">
        <v>174</v>
      </c>
      <c r="AM72" s="216">
        <v>87.081339712918663</v>
      </c>
      <c r="AN72" s="213">
        <v>4.6511627906976747</v>
      </c>
      <c r="AO72" s="127">
        <v>6.4180000000000001</v>
      </c>
      <c r="AP72" s="133">
        <v>0.68200000000000005</v>
      </c>
      <c r="AQ72" s="224">
        <f t="shared" si="28"/>
        <v>1.0936902485659656</v>
      </c>
      <c r="AR72" s="158">
        <v>523</v>
      </c>
      <c r="AS72" s="229">
        <f t="shared" si="29"/>
        <v>0.82183908045977017</v>
      </c>
      <c r="AT72" s="230">
        <v>696</v>
      </c>
      <c r="AU72" s="203">
        <v>16.60839160839161</v>
      </c>
      <c r="AV72" s="204">
        <v>66.08391608391608</v>
      </c>
      <c r="AW72" s="205">
        <v>17.307692307692307</v>
      </c>
      <c r="AX72" s="123">
        <v>6.7183000000000002</v>
      </c>
      <c r="AY72" s="281">
        <v>7.6595744680851059</v>
      </c>
      <c r="AZ72" s="282">
        <v>40</v>
      </c>
      <c r="BA72" s="283">
        <f t="shared" si="30"/>
        <v>52.340425531914889</v>
      </c>
      <c r="BB72" s="234">
        <v>81.651376146788991</v>
      </c>
      <c r="BC72" s="20">
        <v>1999</v>
      </c>
      <c r="BD72" s="263" t="s">
        <v>556</v>
      </c>
      <c r="BE72" s="261" t="s">
        <v>556</v>
      </c>
      <c r="BF72" s="260" t="s">
        <v>557</v>
      </c>
      <c r="BG72" s="256">
        <v>34.310344827586206</v>
      </c>
      <c r="BH72" s="248" t="s">
        <v>556</v>
      </c>
      <c r="BI72" s="249">
        <v>52.313167259786475</v>
      </c>
      <c r="BJ72" s="308" t="s">
        <v>556</v>
      </c>
      <c r="BK72" s="307" t="s">
        <v>750</v>
      </c>
      <c r="BL72" s="319" t="s">
        <v>1728</v>
      </c>
      <c r="BM72" s="320" t="s">
        <v>556</v>
      </c>
      <c r="BN72" s="321" t="s">
        <v>1835</v>
      </c>
      <c r="BO72" s="145" t="s">
        <v>556</v>
      </c>
      <c r="BP72" s="14" t="s">
        <v>557</v>
      </c>
      <c r="BQ72" s="14" t="s">
        <v>556</v>
      </c>
    </row>
    <row r="73" spans="1:70" s="3" customFormat="1" ht="13.95" customHeight="1" x14ac:dyDescent="0.3">
      <c r="A73" s="56" t="s">
        <v>459</v>
      </c>
      <c r="B73" s="57" t="s">
        <v>462</v>
      </c>
      <c r="C73" s="55" t="s">
        <v>321</v>
      </c>
      <c r="D73" s="58">
        <v>6</v>
      </c>
      <c r="E73" s="59" t="s">
        <v>690</v>
      </c>
      <c r="F73" s="60" t="s">
        <v>455</v>
      </c>
      <c r="G73" s="61" t="s">
        <v>304</v>
      </c>
      <c r="H73" s="61" t="s">
        <v>304</v>
      </c>
      <c r="I73" s="62" t="s">
        <v>304</v>
      </c>
      <c r="J73" s="63" t="s">
        <v>1840</v>
      </c>
      <c r="K73" s="99" t="s">
        <v>1423</v>
      </c>
      <c r="L73" s="130">
        <v>494664101</v>
      </c>
      <c r="M73" s="109" t="s">
        <v>564</v>
      </c>
      <c r="N73" s="12" t="s">
        <v>1422</v>
      </c>
      <c r="O73" s="100"/>
      <c r="P73" s="131">
        <v>739097851</v>
      </c>
      <c r="Q73" s="67"/>
      <c r="R73" s="68"/>
      <c r="S73" s="99"/>
      <c r="T73" s="112"/>
      <c r="U73" s="170">
        <f>92500+57000+519952</f>
        <v>669452</v>
      </c>
      <c r="V73" s="48">
        <f t="shared" si="17"/>
        <v>779.33876600698488</v>
      </c>
      <c r="W73" s="171">
        <f t="shared" si="18"/>
        <v>385.93264297840761</v>
      </c>
      <c r="X73" s="69">
        <f>696740+165000</f>
        <v>861740</v>
      </c>
      <c r="Y73" s="48">
        <f t="shared" si="19"/>
        <v>1003.1897555296857</v>
      </c>
      <c r="Z73" s="137">
        <f t="shared" si="20"/>
        <v>496.78482663463996</v>
      </c>
      <c r="AA73" s="69">
        <v>0</v>
      </c>
      <c r="AB73" s="48">
        <f t="shared" si="21"/>
        <v>0</v>
      </c>
      <c r="AC73" s="137">
        <f t="shared" si="22"/>
        <v>0</v>
      </c>
      <c r="AD73" s="70">
        <f t="shared" si="23"/>
        <v>1531192</v>
      </c>
      <c r="AE73" s="71">
        <f t="shared" si="24"/>
        <v>1782.5285215366705</v>
      </c>
      <c r="AF73" s="193">
        <f t="shared" si="25"/>
        <v>882.71746961304757</v>
      </c>
      <c r="AG73" s="185">
        <f t="shared" si="26"/>
        <v>2.4413137755102041E-2</v>
      </c>
      <c r="AH73" s="180">
        <f t="shared" si="27"/>
        <v>5.714469117372644E-2</v>
      </c>
      <c r="AI73" s="189">
        <v>859</v>
      </c>
      <c r="AJ73" s="125">
        <v>1734.6342999999999</v>
      </c>
      <c r="AK73" s="149">
        <v>422</v>
      </c>
      <c r="AL73" s="221">
        <v>229</v>
      </c>
      <c r="AM73" s="216">
        <v>80.385852090032145</v>
      </c>
      <c r="AN73" s="213">
        <v>18.834080717488789</v>
      </c>
      <c r="AO73" s="127">
        <v>12.544</v>
      </c>
      <c r="AP73" s="133">
        <v>5.359</v>
      </c>
      <c r="AQ73" s="224">
        <f t="shared" si="28"/>
        <v>1.1026957637997432</v>
      </c>
      <c r="AR73" s="158">
        <v>779</v>
      </c>
      <c r="AS73" s="229">
        <f t="shared" si="29"/>
        <v>0.59777313848295055</v>
      </c>
      <c r="AT73" s="230">
        <v>1437</v>
      </c>
      <c r="AU73" s="203">
        <v>16.763678696158323</v>
      </c>
      <c r="AV73" s="204">
        <v>65.890570430733419</v>
      </c>
      <c r="AW73" s="205">
        <v>17.345750873108265</v>
      </c>
      <c r="AX73" s="123">
        <v>2.1389999999999998</v>
      </c>
      <c r="AY73" s="281">
        <v>7.3746312684365778</v>
      </c>
      <c r="AZ73" s="282">
        <v>47.197640117994098</v>
      </c>
      <c r="BA73" s="283">
        <f t="shared" si="30"/>
        <v>45.427728613569329</v>
      </c>
      <c r="BB73" s="234">
        <v>61.413043478260867</v>
      </c>
      <c r="BC73" s="20">
        <v>2006</v>
      </c>
      <c r="BD73" s="263" t="s">
        <v>556</v>
      </c>
      <c r="BE73" s="261" t="s">
        <v>556</v>
      </c>
      <c r="BF73" s="260" t="s">
        <v>557</v>
      </c>
      <c r="BG73" s="256">
        <v>25.126903553299488</v>
      </c>
      <c r="BH73" s="254" t="s">
        <v>557</v>
      </c>
      <c r="BI73" s="249">
        <v>0</v>
      </c>
      <c r="BJ73" s="308" t="s">
        <v>556</v>
      </c>
      <c r="BK73" s="307" t="s">
        <v>556</v>
      </c>
      <c r="BL73" s="319" t="s">
        <v>1728</v>
      </c>
      <c r="BM73" s="320" t="s">
        <v>556</v>
      </c>
      <c r="BN73" s="321" t="s">
        <v>1814</v>
      </c>
      <c r="BO73" s="145" t="s">
        <v>556</v>
      </c>
      <c r="BP73" s="14" t="s">
        <v>556</v>
      </c>
      <c r="BQ73" s="14" t="s">
        <v>557</v>
      </c>
      <c r="BR73" s="72"/>
    </row>
    <row r="74" spans="1:70" s="56" customFormat="1" ht="13.95" customHeight="1" x14ac:dyDescent="0.3">
      <c r="A74" s="56" t="s">
        <v>460</v>
      </c>
      <c r="B74" s="77" t="s">
        <v>464</v>
      </c>
      <c r="C74" s="74" t="s">
        <v>304</v>
      </c>
      <c r="D74" s="58">
        <v>8</v>
      </c>
      <c r="E74" s="59" t="s">
        <v>691</v>
      </c>
      <c r="F74" s="60" t="s">
        <v>455</v>
      </c>
      <c r="G74" s="75" t="s">
        <v>304</v>
      </c>
      <c r="H74" s="75" t="s">
        <v>304</v>
      </c>
      <c r="I74" s="76" t="s">
        <v>304</v>
      </c>
      <c r="J74" s="63" t="s">
        <v>1842</v>
      </c>
      <c r="K74" s="99" t="s">
        <v>1841</v>
      </c>
      <c r="L74" s="130">
        <v>494629580</v>
      </c>
      <c r="M74" s="109"/>
      <c r="N74" s="12" t="s">
        <v>457</v>
      </c>
      <c r="O74" s="100" t="s">
        <v>1424</v>
      </c>
      <c r="P74" s="131">
        <v>602114000</v>
      </c>
      <c r="Q74" s="67"/>
      <c r="R74" s="68"/>
      <c r="S74" s="99"/>
      <c r="T74" s="112"/>
      <c r="U74" s="172">
        <v>0</v>
      </c>
      <c r="V74" s="135">
        <f t="shared" si="17"/>
        <v>0</v>
      </c>
      <c r="W74" s="173">
        <f t="shared" si="18"/>
        <v>0</v>
      </c>
      <c r="X74" s="69">
        <f>523700+79000+15000</f>
        <v>617700</v>
      </c>
      <c r="Y74" s="48">
        <f t="shared" si="19"/>
        <v>90.201518691588788</v>
      </c>
      <c r="Z74" s="137">
        <f t="shared" si="20"/>
        <v>179.37793231519152</v>
      </c>
      <c r="AA74" s="69">
        <v>0</v>
      </c>
      <c r="AB74" s="48">
        <f t="shared" si="21"/>
        <v>0</v>
      </c>
      <c r="AC74" s="137">
        <f t="shared" si="22"/>
        <v>0</v>
      </c>
      <c r="AD74" s="70">
        <f t="shared" si="23"/>
        <v>617700</v>
      </c>
      <c r="AE74" s="71">
        <f t="shared" si="24"/>
        <v>90.201518691588788</v>
      </c>
      <c r="AF74" s="193">
        <f t="shared" si="25"/>
        <v>179.37793231519152</v>
      </c>
      <c r="AG74" s="185">
        <f t="shared" si="26"/>
        <v>8.6858091006243316E-4</v>
      </c>
      <c r="AH74" s="180">
        <f t="shared" si="27"/>
        <v>3.4704196864992418E-3</v>
      </c>
      <c r="AI74" s="189">
        <v>6848</v>
      </c>
      <c r="AJ74" s="126">
        <v>3443.5673999999999</v>
      </c>
      <c r="AK74" s="150">
        <v>1512</v>
      </c>
      <c r="AL74" s="221">
        <v>1083</v>
      </c>
      <c r="AM74" s="216">
        <v>37.949836423118867</v>
      </c>
      <c r="AN74" s="213">
        <v>2.9961340206185567</v>
      </c>
      <c r="AO74" s="128">
        <v>142.232</v>
      </c>
      <c r="AP74" s="134">
        <v>35.597999999999999</v>
      </c>
      <c r="AQ74" s="224">
        <f t="shared" si="28"/>
        <v>0.99347163789351511</v>
      </c>
      <c r="AR74" s="158">
        <v>6893</v>
      </c>
      <c r="AS74" s="229">
        <f t="shared" si="29"/>
        <v>1.28</v>
      </c>
      <c r="AT74" s="230">
        <v>5350</v>
      </c>
      <c r="AU74" s="203">
        <v>15.23072429906542</v>
      </c>
      <c r="AV74" s="204">
        <v>64.909462616822438</v>
      </c>
      <c r="AW74" s="205">
        <v>19.859813084112147</v>
      </c>
      <c r="AX74" s="123">
        <v>3.0562999999999998</v>
      </c>
      <c r="AY74" s="281">
        <v>3.2883919763235778</v>
      </c>
      <c r="AZ74" s="282">
        <v>39.362051956593227</v>
      </c>
      <c r="BA74" s="283">
        <f t="shared" si="30"/>
        <v>57.349556067083192</v>
      </c>
      <c r="BB74" s="234">
        <v>47.64667956157318</v>
      </c>
      <c r="BC74" s="20">
        <v>2015</v>
      </c>
      <c r="BD74" s="263" t="s">
        <v>556</v>
      </c>
      <c r="BE74" s="261" t="s">
        <v>556</v>
      </c>
      <c r="BF74" s="259" t="s">
        <v>556</v>
      </c>
      <c r="BG74" s="256">
        <v>84.223693892568065</v>
      </c>
      <c r="BH74" s="248" t="s">
        <v>556</v>
      </c>
      <c r="BI74" s="249">
        <v>23.198051948051948</v>
      </c>
      <c r="BJ74" s="308" t="s">
        <v>556</v>
      </c>
      <c r="BK74" s="307" t="s">
        <v>556</v>
      </c>
      <c r="BL74" s="319" t="s">
        <v>1777</v>
      </c>
      <c r="BM74" s="320" t="s">
        <v>556</v>
      </c>
      <c r="BN74" s="321" t="s">
        <v>1843</v>
      </c>
      <c r="BO74" s="145" t="s">
        <v>556</v>
      </c>
      <c r="BP74" s="14">
        <v>4</v>
      </c>
      <c r="BQ74" s="148" t="s">
        <v>556</v>
      </c>
      <c r="BR74" s="72"/>
    </row>
    <row r="75" spans="1:70" s="56" customFormat="1" ht="13.95" customHeight="1" x14ac:dyDescent="0.3">
      <c r="A75" s="56" t="s">
        <v>459</v>
      </c>
      <c r="B75" s="57" t="s">
        <v>462</v>
      </c>
      <c r="C75" s="55" t="s">
        <v>322</v>
      </c>
      <c r="D75" s="58">
        <v>1</v>
      </c>
      <c r="E75" s="59"/>
      <c r="F75" s="60" t="s">
        <v>455</v>
      </c>
      <c r="G75" s="61" t="s">
        <v>304</v>
      </c>
      <c r="H75" s="61" t="s">
        <v>304</v>
      </c>
      <c r="I75" s="62" t="s">
        <v>304</v>
      </c>
      <c r="J75" s="63" t="s">
        <v>1844</v>
      </c>
      <c r="K75" s="99" t="s">
        <v>1426</v>
      </c>
      <c r="L75" s="130">
        <v>494665523</v>
      </c>
      <c r="M75" s="109" t="s">
        <v>564</v>
      </c>
      <c r="N75" s="12" t="s">
        <v>1425</v>
      </c>
      <c r="O75" s="100"/>
      <c r="P75" s="131">
        <v>724183076</v>
      </c>
      <c r="Q75" s="67"/>
      <c r="R75" s="68"/>
      <c r="S75" s="99"/>
      <c r="T75" s="112"/>
      <c r="U75" s="170">
        <f>268000+200000</f>
        <v>468000</v>
      </c>
      <c r="V75" s="48">
        <f t="shared" si="17"/>
        <v>3492.5373134328356</v>
      </c>
      <c r="W75" s="171">
        <f t="shared" si="18"/>
        <v>1153.5779526604144</v>
      </c>
      <c r="X75" s="69">
        <v>0</v>
      </c>
      <c r="Y75" s="48">
        <f t="shared" si="19"/>
        <v>0</v>
      </c>
      <c r="Z75" s="137">
        <f t="shared" si="20"/>
        <v>0</v>
      </c>
      <c r="AA75" s="69">
        <v>0</v>
      </c>
      <c r="AB75" s="48">
        <f t="shared" si="21"/>
        <v>0</v>
      </c>
      <c r="AC75" s="137">
        <f t="shared" si="22"/>
        <v>0</v>
      </c>
      <c r="AD75" s="70">
        <f t="shared" si="23"/>
        <v>468000</v>
      </c>
      <c r="AE75" s="71">
        <f t="shared" si="24"/>
        <v>3492.5373134328356</v>
      </c>
      <c r="AF75" s="193">
        <f t="shared" si="25"/>
        <v>1153.5779526604144</v>
      </c>
      <c r="AG75" s="185">
        <f t="shared" si="26"/>
        <v>3.6194895591647333E-2</v>
      </c>
      <c r="AH75" s="180">
        <f t="shared" si="27"/>
        <v>9.4832826747720353E-2</v>
      </c>
      <c r="AI75" s="189">
        <v>134</v>
      </c>
      <c r="AJ75" s="125">
        <v>405.6943</v>
      </c>
      <c r="AK75" s="149">
        <v>133</v>
      </c>
      <c r="AL75" s="221">
        <v>40</v>
      </c>
      <c r="AM75" s="216">
        <v>100</v>
      </c>
      <c r="AN75" s="213">
        <v>35.955056179775283</v>
      </c>
      <c r="AO75" s="127">
        <v>2.5859999999999999</v>
      </c>
      <c r="AP75" s="133">
        <v>0.98699999999999999</v>
      </c>
      <c r="AQ75" s="224">
        <f t="shared" si="28"/>
        <v>1.0307692307692307</v>
      </c>
      <c r="AR75" s="158">
        <v>130</v>
      </c>
      <c r="AS75" s="229">
        <f t="shared" si="29"/>
        <v>0.40361445783132532</v>
      </c>
      <c r="AT75" s="230">
        <v>332</v>
      </c>
      <c r="AU75" s="203">
        <v>22.388059701492537</v>
      </c>
      <c r="AV75" s="204">
        <v>60.447761194029852</v>
      </c>
      <c r="AW75" s="205">
        <v>17.164179104477611</v>
      </c>
      <c r="AX75" s="123">
        <v>2.5316000000000001</v>
      </c>
      <c r="AY75" s="281">
        <v>3.6363636363636362</v>
      </c>
      <c r="AZ75" s="282">
        <v>40</v>
      </c>
      <c r="BA75" s="283">
        <f t="shared" si="30"/>
        <v>56.36363636363636</v>
      </c>
      <c r="BB75" s="234">
        <v>60.869565217391305</v>
      </c>
      <c r="BC75" s="20">
        <v>2008</v>
      </c>
      <c r="BD75" s="263" t="s">
        <v>556</v>
      </c>
      <c r="BE75" s="261" t="s">
        <v>556</v>
      </c>
      <c r="BF75" s="260" t="s">
        <v>557</v>
      </c>
      <c r="BG75" s="256">
        <v>0</v>
      </c>
      <c r="BH75" s="254" t="s">
        <v>557</v>
      </c>
      <c r="BI75" s="249">
        <v>0</v>
      </c>
      <c r="BJ75" s="309" t="s">
        <v>557</v>
      </c>
      <c r="BK75" s="307" t="s">
        <v>556</v>
      </c>
      <c r="BL75" s="319" t="s">
        <v>1728</v>
      </c>
      <c r="BM75" s="320" t="s">
        <v>556</v>
      </c>
      <c r="BN75" s="321" t="s">
        <v>1803</v>
      </c>
      <c r="BO75" s="145" t="s">
        <v>557</v>
      </c>
      <c r="BP75" s="14" t="s">
        <v>556</v>
      </c>
      <c r="BQ75" s="14" t="s">
        <v>557</v>
      </c>
    </row>
    <row r="76" spans="1:70" s="56" customFormat="1" ht="13.95" customHeight="1" x14ac:dyDescent="0.3">
      <c r="A76" s="56" t="s">
        <v>459</v>
      </c>
      <c r="B76" s="57" t="s">
        <v>462</v>
      </c>
      <c r="C76" s="55" t="s">
        <v>22</v>
      </c>
      <c r="D76" s="58">
        <v>1</v>
      </c>
      <c r="E76" s="59" t="s">
        <v>457</v>
      </c>
      <c r="F76" s="60" t="s">
        <v>452</v>
      </c>
      <c r="G76" s="61" t="s">
        <v>11</v>
      </c>
      <c r="H76" s="61" t="s">
        <v>11</v>
      </c>
      <c r="I76" s="62" t="s">
        <v>11</v>
      </c>
      <c r="J76" s="63" t="s">
        <v>1845</v>
      </c>
      <c r="K76" s="99" t="s">
        <v>813</v>
      </c>
      <c r="L76" s="130">
        <v>495451119</v>
      </c>
      <c r="M76" s="109" t="s">
        <v>564</v>
      </c>
      <c r="N76" s="12" t="s">
        <v>814</v>
      </c>
      <c r="O76" s="100"/>
      <c r="P76" s="131">
        <v>775614514</v>
      </c>
      <c r="Q76" s="67"/>
      <c r="R76" s="68"/>
      <c r="S76" s="99"/>
      <c r="T76" s="65"/>
      <c r="U76" s="170">
        <f>313029+61500+36791+370734</f>
        <v>782054</v>
      </c>
      <c r="V76" s="48">
        <f t="shared" si="17"/>
        <v>1346.0481927710844</v>
      </c>
      <c r="W76" s="171">
        <f t="shared" si="18"/>
        <v>1051.7438376370267</v>
      </c>
      <c r="X76" s="69">
        <v>0</v>
      </c>
      <c r="Y76" s="48">
        <f t="shared" si="19"/>
        <v>0</v>
      </c>
      <c r="Z76" s="137">
        <f t="shared" si="20"/>
        <v>0</v>
      </c>
      <c r="AA76" s="69">
        <v>0</v>
      </c>
      <c r="AB76" s="48">
        <f t="shared" si="21"/>
        <v>0</v>
      </c>
      <c r="AC76" s="137">
        <f t="shared" si="22"/>
        <v>0</v>
      </c>
      <c r="AD76" s="70">
        <f t="shared" si="23"/>
        <v>782054</v>
      </c>
      <c r="AE76" s="71">
        <f t="shared" si="24"/>
        <v>1346.0481927710844</v>
      </c>
      <c r="AF76" s="193">
        <f t="shared" si="25"/>
        <v>1051.7438376370267</v>
      </c>
      <c r="AG76" s="185">
        <f t="shared" si="26"/>
        <v>2.0140458408447078E-2</v>
      </c>
      <c r="AH76" s="180">
        <f t="shared" si="27"/>
        <v>9.5024787363304983E-2</v>
      </c>
      <c r="AI76" s="189">
        <v>581</v>
      </c>
      <c r="AJ76" s="125">
        <v>743.57839999999999</v>
      </c>
      <c r="AK76" s="149">
        <v>216</v>
      </c>
      <c r="AL76" s="221">
        <v>153</v>
      </c>
      <c r="AM76" s="216">
        <v>79.081632653061234</v>
      </c>
      <c r="AN76" s="213">
        <v>8.9068825910931189</v>
      </c>
      <c r="AO76" s="127">
        <v>7.766</v>
      </c>
      <c r="AP76" s="133">
        <v>1.6459999999999999</v>
      </c>
      <c r="AQ76" s="224">
        <f t="shared" si="28"/>
        <v>1</v>
      </c>
      <c r="AR76" s="158">
        <v>581</v>
      </c>
      <c r="AS76" s="229">
        <f t="shared" si="29"/>
        <v>0.85065885797950225</v>
      </c>
      <c r="AT76" s="230">
        <v>683</v>
      </c>
      <c r="AU76" s="203">
        <v>16.179001721170398</v>
      </c>
      <c r="AV76" s="204">
        <v>65.232358003442343</v>
      </c>
      <c r="AW76" s="205">
        <v>18.588640275387263</v>
      </c>
      <c r="AX76" s="123">
        <v>7.0312999999999999</v>
      </c>
      <c r="AY76" s="281">
        <v>7.0038910505836576</v>
      </c>
      <c r="AZ76" s="282">
        <v>27.626459143968873</v>
      </c>
      <c r="BA76" s="283">
        <f t="shared" si="30"/>
        <v>65.369649805447466</v>
      </c>
      <c r="BB76" s="234">
        <v>45.982142857142854</v>
      </c>
      <c r="BC76" s="20">
        <v>2006</v>
      </c>
      <c r="BD76" s="263" t="s">
        <v>556</v>
      </c>
      <c r="BE76" s="261" t="s">
        <v>556</v>
      </c>
      <c r="BF76" s="259" t="s">
        <v>556</v>
      </c>
      <c r="BG76" s="256">
        <v>88.847583643122675</v>
      </c>
      <c r="BH76" s="248" t="s">
        <v>556</v>
      </c>
      <c r="BI76" s="249">
        <v>51.351351351351347</v>
      </c>
      <c r="BJ76" s="308" t="s">
        <v>556</v>
      </c>
      <c r="BK76" s="307" t="s">
        <v>557</v>
      </c>
      <c r="BL76" s="319" t="s">
        <v>1728</v>
      </c>
      <c r="BM76" s="320" t="s">
        <v>556</v>
      </c>
      <c r="BN76" s="321" t="s">
        <v>1835</v>
      </c>
      <c r="BO76" s="145" t="s">
        <v>556</v>
      </c>
      <c r="BP76" s="14" t="s">
        <v>556</v>
      </c>
      <c r="BQ76" s="14" t="s">
        <v>556</v>
      </c>
    </row>
    <row r="77" spans="1:70" s="56" customFormat="1" ht="13.95" customHeight="1" x14ac:dyDescent="0.3">
      <c r="A77" s="56" t="s">
        <v>459</v>
      </c>
      <c r="B77" s="57" t="s">
        <v>462</v>
      </c>
      <c r="C77" s="55" t="s">
        <v>24</v>
      </c>
      <c r="D77" s="58">
        <v>2</v>
      </c>
      <c r="E77" s="59" t="s">
        <v>467</v>
      </c>
      <c r="F77" s="60" t="s">
        <v>452</v>
      </c>
      <c r="G77" s="61" t="s">
        <v>11</v>
      </c>
      <c r="H77" s="61" t="s">
        <v>11</v>
      </c>
      <c r="I77" s="62" t="s">
        <v>11</v>
      </c>
      <c r="J77" s="63" t="s">
        <v>1846</v>
      </c>
      <c r="K77" s="99" t="s">
        <v>769</v>
      </c>
      <c r="L77" s="130">
        <v>495447010</v>
      </c>
      <c r="M77" s="109" t="s">
        <v>537</v>
      </c>
      <c r="N77" s="12" t="s">
        <v>768</v>
      </c>
      <c r="O77" s="100"/>
      <c r="P77" s="131">
        <v>774131204</v>
      </c>
      <c r="Q77" s="67"/>
      <c r="R77" s="68"/>
      <c r="S77" s="99"/>
      <c r="T77" s="65"/>
      <c r="U77" s="170">
        <v>760000</v>
      </c>
      <c r="V77" s="48">
        <f t="shared" si="17"/>
        <v>1623.931623931624</v>
      </c>
      <c r="W77" s="171">
        <f t="shared" si="18"/>
        <v>1707.3038684135979</v>
      </c>
      <c r="X77" s="69">
        <v>0</v>
      </c>
      <c r="Y77" s="48">
        <f t="shared" si="19"/>
        <v>0</v>
      </c>
      <c r="Z77" s="137">
        <f t="shared" si="20"/>
        <v>0</v>
      </c>
      <c r="AA77" s="69">
        <v>1000000</v>
      </c>
      <c r="AB77" s="48">
        <f t="shared" si="21"/>
        <v>2136.7521367521367</v>
      </c>
      <c r="AC77" s="137">
        <f t="shared" si="22"/>
        <v>2246.4524584389446</v>
      </c>
      <c r="AD77" s="70">
        <f t="shared" si="23"/>
        <v>1760000</v>
      </c>
      <c r="AE77" s="71">
        <f t="shared" si="24"/>
        <v>3760.6837606837607</v>
      </c>
      <c r="AF77" s="193">
        <f t="shared" si="25"/>
        <v>3953.7563268525428</v>
      </c>
      <c r="AG77" s="185">
        <f t="shared" si="26"/>
        <v>4.9731562588301775E-2</v>
      </c>
      <c r="AH77" s="180">
        <f t="shared" si="27"/>
        <v>0.1308063916759569</v>
      </c>
      <c r="AI77" s="189">
        <v>468</v>
      </c>
      <c r="AJ77" s="125">
        <v>445.1463</v>
      </c>
      <c r="AK77" s="149">
        <v>159</v>
      </c>
      <c r="AL77" s="221">
        <v>114</v>
      </c>
      <c r="AM77" s="216">
        <v>87.261146496815286</v>
      </c>
      <c r="AN77" s="213">
        <v>6.3725490196078445</v>
      </c>
      <c r="AO77" s="127">
        <v>7.0780000000000003</v>
      </c>
      <c r="AP77" s="133">
        <v>2.6909999999999998</v>
      </c>
      <c r="AQ77" s="224">
        <f t="shared" si="28"/>
        <v>1.2348284960422165</v>
      </c>
      <c r="AR77" s="158">
        <v>379</v>
      </c>
      <c r="AS77" s="229">
        <f t="shared" si="29"/>
        <v>0.7440381558028617</v>
      </c>
      <c r="AT77" s="230">
        <v>629</v>
      </c>
      <c r="AU77" s="203">
        <v>15.598290598290598</v>
      </c>
      <c r="AV77" s="204">
        <v>72.222222222222214</v>
      </c>
      <c r="AW77" s="205">
        <v>12.179487179487179</v>
      </c>
      <c r="AX77" s="123">
        <v>7.4850000000000003</v>
      </c>
      <c r="AY77" s="281">
        <v>9.0476190476190474</v>
      </c>
      <c r="AZ77" s="282">
        <v>30</v>
      </c>
      <c r="BA77" s="283">
        <f t="shared" si="30"/>
        <v>60.952380952380949</v>
      </c>
      <c r="BB77" s="234">
        <v>91.17647058823529</v>
      </c>
      <c r="BC77" s="20">
        <v>2011</v>
      </c>
      <c r="BD77" s="263" t="s">
        <v>556</v>
      </c>
      <c r="BE77" s="262" t="s">
        <v>557</v>
      </c>
      <c r="BF77" s="260" t="s">
        <v>557</v>
      </c>
      <c r="BG77" s="256">
        <v>0</v>
      </c>
      <c r="BH77" s="248" t="s">
        <v>556</v>
      </c>
      <c r="BI77" s="249">
        <v>61.904761904761905</v>
      </c>
      <c r="BJ77" s="309" t="s">
        <v>557</v>
      </c>
      <c r="BK77" s="307" t="s">
        <v>750</v>
      </c>
      <c r="BL77" s="319" t="s">
        <v>1728</v>
      </c>
      <c r="BM77" s="320" t="s">
        <v>557</v>
      </c>
      <c r="BN77" s="321" t="s">
        <v>1847</v>
      </c>
      <c r="BO77" s="145" t="s">
        <v>556</v>
      </c>
      <c r="BP77" s="14" t="s">
        <v>556</v>
      </c>
      <c r="BQ77" s="14" t="s">
        <v>556</v>
      </c>
      <c r="BR77" s="72"/>
    </row>
    <row r="78" spans="1:70" s="56" customFormat="1" ht="13.95" customHeight="1" x14ac:dyDescent="0.3">
      <c r="A78" s="3" t="s">
        <v>459</v>
      </c>
      <c r="B78" s="57" t="s">
        <v>462</v>
      </c>
      <c r="C78" s="55" t="s">
        <v>241</v>
      </c>
      <c r="D78" s="58">
        <v>5</v>
      </c>
      <c r="E78" s="59" t="s">
        <v>644</v>
      </c>
      <c r="F78" s="60" t="s">
        <v>454</v>
      </c>
      <c r="G78" s="61" t="s">
        <v>242</v>
      </c>
      <c r="H78" s="61" t="s">
        <v>242</v>
      </c>
      <c r="I78" s="62" t="s">
        <v>242</v>
      </c>
      <c r="J78" s="117" t="s">
        <v>1848</v>
      </c>
      <c r="K78" s="100" t="s">
        <v>1274</v>
      </c>
      <c r="L78" s="131">
        <v>491813657</v>
      </c>
      <c r="M78" s="109" t="s">
        <v>564</v>
      </c>
      <c r="N78" s="12" t="s">
        <v>1273</v>
      </c>
      <c r="O78" s="100"/>
      <c r="P78" s="131">
        <v>734483373</v>
      </c>
      <c r="Q78" s="67"/>
      <c r="R78" s="12"/>
      <c r="S78" s="100"/>
      <c r="T78" s="66"/>
      <c r="U78" s="170">
        <v>570000</v>
      </c>
      <c r="V78" s="48">
        <f t="shared" si="17"/>
        <v>845.69732937685455</v>
      </c>
      <c r="W78" s="171">
        <f t="shared" si="18"/>
        <v>339.59013258313706</v>
      </c>
      <c r="X78" s="69">
        <v>11600</v>
      </c>
      <c r="Y78" s="48">
        <f t="shared" si="19"/>
        <v>17.210682492581601</v>
      </c>
      <c r="Z78" s="137">
        <f t="shared" si="20"/>
        <v>6.9109570841480519</v>
      </c>
      <c r="AA78" s="69">
        <v>0</v>
      </c>
      <c r="AB78" s="48">
        <f t="shared" si="21"/>
        <v>0</v>
      </c>
      <c r="AC78" s="137">
        <f t="shared" si="22"/>
        <v>0</v>
      </c>
      <c r="AD78" s="70">
        <f t="shared" si="23"/>
        <v>581600</v>
      </c>
      <c r="AE78" s="71">
        <f t="shared" si="24"/>
        <v>862.90801186943622</v>
      </c>
      <c r="AF78" s="193">
        <f t="shared" si="25"/>
        <v>346.5010896672851</v>
      </c>
      <c r="AG78" s="185">
        <f t="shared" si="26"/>
        <v>1.3167308127688477E-2</v>
      </c>
      <c r="AH78" s="180">
        <f t="shared" si="27"/>
        <v>6.2943722943722941E-2</v>
      </c>
      <c r="AI78" s="189">
        <v>674</v>
      </c>
      <c r="AJ78" s="125">
        <v>1678.4939999999999</v>
      </c>
      <c r="AK78" s="149">
        <v>274</v>
      </c>
      <c r="AL78" s="221">
        <v>185</v>
      </c>
      <c r="AM78" s="216">
        <v>95.708154506437765</v>
      </c>
      <c r="AN78" s="213">
        <v>8.524590163934425</v>
      </c>
      <c r="AO78" s="127">
        <v>8.8339999999999996</v>
      </c>
      <c r="AP78" s="133">
        <v>1.8480000000000001</v>
      </c>
      <c r="AQ78" s="224">
        <f t="shared" si="28"/>
        <v>1.0369230769230768</v>
      </c>
      <c r="AR78" s="158">
        <v>650</v>
      </c>
      <c r="AS78" s="229">
        <f t="shared" si="29"/>
        <v>0.66078431372549018</v>
      </c>
      <c r="AT78" s="230">
        <v>1020</v>
      </c>
      <c r="AU78" s="203">
        <v>16.023738872403563</v>
      </c>
      <c r="AV78" s="204">
        <v>64.391691394658764</v>
      </c>
      <c r="AW78" s="205">
        <v>19.584569732937684</v>
      </c>
      <c r="AX78" s="123">
        <v>1.6166</v>
      </c>
      <c r="AY78" s="281">
        <v>18.399999999999999</v>
      </c>
      <c r="AZ78" s="282">
        <v>30.4</v>
      </c>
      <c r="BA78" s="283">
        <f t="shared" si="30"/>
        <v>51.199999999999996</v>
      </c>
      <c r="BB78" s="234">
        <v>63.358778625954194</v>
      </c>
      <c r="BC78" s="19">
        <v>2005</v>
      </c>
      <c r="BD78" s="264" t="s">
        <v>557</v>
      </c>
      <c r="BE78" s="261" t="s">
        <v>556</v>
      </c>
      <c r="BF78" s="259" t="s">
        <v>556</v>
      </c>
      <c r="BG78" s="256">
        <v>32.118055555555557</v>
      </c>
      <c r="BH78" s="248" t="s">
        <v>556</v>
      </c>
      <c r="BI78" s="249">
        <v>48.603351955307261</v>
      </c>
      <c r="BJ78" s="308" t="s">
        <v>556</v>
      </c>
      <c r="BK78" s="307" t="s">
        <v>750</v>
      </c>
      <c r="BL78" s="319" t="s">
        <v>1728</v>
      </c>
      <c r="BM78" s="320" t="s">
        <v>556</v>
      </c>
      <c r="BN78" s="321" t="s">
        <v>1849</v>
      </c>
      <c r="BO78" s="21" t="s">
        <v>998</v>
      </c>
      <c r="BP78" s="10" t="s">
        <v>556</v>
      </c>
      <c r="BQ78" s="10" t="s">
        <v>557</v>
      </c>
      <c r="BR78" s="80"/>
    </row>
    <row r="79" spans="1:70" s="56" customFormat="1" ht="13.95" customHeight="1" x14ac:dyDescent="0.3">
      <c r="A79" s="56" t="s">
        <v>459</v>
      </c>
      <c r="B79" s="57" t="s">
        <v>462</v>
      </c>
      <c r="C79" s="55" t="s">
        <v>393</v>
      </c>
      <c r="D79" s="58">
        <v>1</v>
      </c>
      <c r="E79" s="59"/>
      <c r="F79" s="60" t="s">
        <v>456</v>
      </c>
      <c r="G79" s="61" t="s">
        <v>389</v>
      </c>
      <c r="H79" s="61" t="s">
        <v>389</v>
      </c>
      <c r="I79" s="62" t="s">
        <v>389</v>
      </c>
      <c r="J79" s="63" t="s">
        <v>1851</v>
      </c>
      <c r="K79" s="99" t="s">
        <v>1850</v>
      </c>
      <c r="L79" s="130">
        <v>499421385</v>
      </c>
      <c r="M79" s="109" t="s">
        <v>564</v>
      </c>
      <c r="N79" s="12" t="s">
        <v>1552</v>
      </c>
      <c r="O79" s="100" t="s">
        <v>1553</v>
      </c>
      <c r="P79" s="131">
        <v>724180071</v>
      </c>
      <c r="Q79" s="84"/>
      <c r="S79" s="105"/>
      <c r="T79" s="112"/>
      <c r="U79" s="170">
        <v>0</v>
      </c>
      <c r="V79" s="48">
        <f t="shared" si="17"/>
        <v>0</v>
      </c>
      <c r="W79" s="171">
        <f t="shared" si="18"/>
        <v>0</v>
      </c>
      <c r="X79" s="69">
        <v>0</v>
      </c>
      <c r="Y79" s="48">
        <f t="shared" si="19"/>
        <v>0</v>
      </c>
      <c r="Z79" s="137">
        <f t="shared" si="20"/>
        <v>0</v>
      </c>
      <c r="AA79" s="69">
        <v>0</v>
      </c>
      <c r="AB79" s="48">
        <f t="shared" si="21"/>
        <v>0</v>
      </c>
      <c r="AC79" s="137">
        <f t="shared" si="22"/>
        <v>0</v>
      </c>
      <c r="AD79" s="70">
        <f t="shared" si="23"/>
        <v>0</v>
      </c>
      <c r="AE79" s="71">
        <f t="shared" si="24"/>
        <v>0</v>
      </c>
      <c r="AF79" s="193">
        <f t="shared" si="25"/>
        <v>0</v>
      </c>
      <c r="AG79" s="185">
        <f t="shared" si="26"/>
        <v>0</v>
      </c>
      <c r="AH79" s="180">
        <f t="shared" si="27"/>
        <v>0</v>
      </c>
      <c r="AI79" s="189">
        <v>972</v>
      </c>
      <c r="AJ79" s="125">
        <v>791.29200000000003</v>
      </c>
      <c r="AK79" s="149">
        <v>350</v>
      </c>
      <c r="AL79" s="221">
        <v>257</v>
      </c>
      <c r="AM79" s="216">
        <v>90.560471976401175</v>
      </c>
      <c r="AN79" s="213">
        <v>4.8543689320388346</v>
      </c>
      <c r="AO79" s="127">
        <v>15.869</v>
      </c>
      <c r="AP79" s="133">
        <v>5.7919999999999998</v>
      </c>
      <c r="AQ79" s="224">
        <f t="shared" si="28"/>
        <v>1.1408450704225352</v>
      </c>
      <c r="AR79" s="158">
        <v>852</v>
      </c>
      <c r="AS79" s="229">
        <f t="shared" si="29"/>
        <v>0.75115919629057182</v>
      </c>
      <c r="AT79" s="230">
        <v>1294</v>
      </c>
      <c r="AU79" s="203">
        <v>14.300411522633743</v>
      </c>
      <c r="AV79" s="204">
        <v>69.238683127572017</v>
      </c>
      <c r="AW79" s="205">
        <v>16.460905349794238</v>
      </c>
      <c r="AX79" s="123">
        <v>4.5789999999999997</v>
      </c>
      <c r="AY79" s="281">
        <v>5.1801801801801801</v>
      </c>
      <c r="AZ79" s="282">
        <v>49.549549549549546</v>
      </c>
      <c r="BA79" s="283">
        <f t="shared" si="30"/>
        <v>45.270270270270281</v>
      </c>
      <c r="BB79" s="234">
        <v>74.308300395256921</v>
      </c>
      <c r="BC79" s="20">
        <v>2008</v>
      </c>
      <c r="BD79" s="263" t="s">
        <v>556</v>
      </c>
      <c r="BE79" s="261" t="s">
        <v>556</v>
      </c>
      <c r="BF79" s="259" t="s">
        <v>556</v>
      </c>
      <c r="BG79" s="256">
        <v>27.623126338329762</v>
      </c>
      <c r="BH79" s="248" t="s">
        <v>556</v>
      </c>
      <c r="BI79" s="249">
        <v>32.603686635944698</v>
      </c>
      <c r="BJ79" s="308" t="s">
        <v>556</v>
      </c>
      <c r="BK79" s="307" t="s">
        <v>750</v>
      </c>
      <c r="BL79" s="319" t="s">
        <v>1728</v>
      </c>
      <c r="BM79" s="320" t="s">
        <v>557</v>
      </c>
      <c r="BN79" s="321" t="s">
        <v>1803</v>
      </c>
      <c r="BO79" s="145" t="s">
        <v>556</v>
      </c>
      <c r="BP79" s="14" t="s">
        <v>556</v>
      </c>
      <c r="BQ79" s="14" t="s">
        <v>557</v>
      </c>
    </row>
    <row r="80" spans="1:70" s="56" customFormat="1" ht="13.95" customHeight="1" x14ac:dyDescent="0.3">
      <c r="A80" s="56" t="s">
        <v>459</v>
      </c>
      <c r="B80" s="57" t="s">
        <v>462</v>
      </c>
      <c r="C80" s="55" t="s">
        <v>394</v>
      </c>
      <c r="D80" s="58">
        <v>1</v>
      </c>
      <c r="E80" s="59"/>
      <c r="F80" s="60" t="s">
        <v>456</v>
      </c>
      <c r="G80" s="61" t="s">
        <v>531</v>
      </c>
      <c r="H80" s="61" t="s">
        <v>531</v>
      </c>
      <c r="I80" s="62" t="s">
        <v>531</v>
      </c>
      <c r="J80" s="63" t="s">
        <v>1852</v>
      </c>
      <c r="K80" s="99" t="s">
        <v>1555</v>
      </c>
      <c r="L80" s="130">
        <v>499391100</v>
      </c>
      <c r="M80" s="109" t="s">
        <v>564</v>
      </c>
      <c r="N80" s="12" t="s">
        <v>1554</v>
      </c>
      <c r="O80" s="100"/>
      <c r="P80" s="131">
        <v>724180059</v>
      </c>
      <c r="Q80" s="82"/>
      <c r="R80" s="72"/>
      <c r="S80" s="115"/>
      <c r="T80" s="112"/>
      <c r="U80" s="170">
        <v>0</v>
      </c>
      <c r="V80" s="48">
        <f t="shared" si="17"/>
        <v>0</v>
      </c>
      <c r="W80" s="171">
        <f t="shared" si="18"/>
        <v>0</v>
      </c>
      <c r="X80" s="69">
        <v>0</v>
      </c>
      <c r="Y80" s="48">
        <f t="shared" si="19"/>
        <v>0</v>
      </c>
      <c r="Z80" s="137">
        <f t="shared" si="20"/>
        <v>0</v>
      </c>
      <c r="AA80" s="69">
        <v>0</v>
      </c>
      <c r="AB80" s="48">
        <f t="shared" si="21"/>
        <v>0</v>
      </c>
      <c r="AC80" s="137">
        <f t="shared" si="22"/>
        <v>0</v>
      </c>
      <c r="AD80" s="70">
        <f t="shared" si="23"/>
        <v>0</v>
      </c>
      <c r="AE80" s="71">
        <f t="shared" si="24"/>
        <v>0</v>
      </c>
      <c r="AF80" s="193">
        <f t="shared" si="25"/>
        <v>0</v>
      </c>
      <c r="AG80" s="185">
        <f t="shared" si="26"/>
        <v>0</v>
      </c>
      <c r="AH80" s="180">
        <f t="shared" si="27"/>
        <v>0</v>
      </c>
      <c r="AI80" s="189">
        <v>377</v>
      </c>
      <c r="AJ80" s="125">
        <v>386.45159999999998</v>
      </c>
      <c r="AK80" s="149">
        <v>134</v>
      </c>
      <c r="AL80" s="221">
        <v>95</v>
      </c>
      <c r="AM80" s="216">
        <v>85.714285714285708</v>
      </c>
      <c r="AN80" s="213">
        <v>7.3825503355704702</v>
      </c>
      <c r="AO80" s="127">
        <v>3.7829999999999999</v>
      </c>
      <c r="AP80" s="133">
        <v>0.29899999999999999</v>
      </c>
      <c r="AQ80" s="224">
        <f t="shared" si="28"/>
        <v>1.156441717791411</v>
      </c>
      <c r="AR80" s="158">
        <v>326</v>
      </c>
      <c r="AS80" s="229">
        <f t="shared" si="29"/>
        <v>0.76626016260162599</v>
      </c>
      <c r="AT80" s="230">
        <v>492</v>
      </c>
      <c r="AU80" s="203">
        <v>15.649867374005305</v>
      </c>
      <c r="AV80" s="204">
        <v>70.291777188328908</v>
      </c>
      <c r="AW80" s="205">
        <v>14.058355437665782</v>
      </c>
      <c r="AX80" s="123">
        <v>5.1094999999999997</v>
      </c>
      <c r="AY80" s="281">
        <v>7.5581395348837201</v>
      </c>
      <c r="AZ80" s="282">
        <v>47.674418604651166</v>
      </c>
      <c r="BA80" s="283">
        <f t="shared" si="30"/>
        <v>44.767441860465112</v>
      </c>
      <c r="BB80" s="234">
        <v>51</v>
      </c>
      <c r="BC80" s="20" t="s">
        <v>557</v>
      </c>
      <c r="BD80" s="263" t="s">
        <v>556</v>
      </c>
      <c r="BE80" s="261" t="s">
        <v>556</v>
      </c>
      <c r="BF80" s="260" t="s">
        <v>557</v>
      </c>
      <c r="BG80" s="256">
        <v>15.072463768115943</v>
      </c>
      <c r="BH80" s="248" t="s">
        <v>556</v>
      </c>
      <c r="BI80" s="249">
        <v>54.896142433234417</v>
      </c>
      <c r="BJ80" s="309" t="s">
        <v>557</v>
      </c>
      <c r="BK80" s="307" t="s">
        <v>557</v>
      </c>
      <c r="BL80" s="319" t="s">
        <v>1728</v>
      </c>
      <c r="BM80" s="320" t="s">
        <v>556</v>
      </c>
      <c r="BN80" s="321" t="s">
        <v>1838</v>
      </c>
      <c r="BO80" s="145" t="s">
        <v>557</v>
      </c>
      <c r="BP80" s="14" t="s">
        <v>556</v>
      </c>
      <c r="BQ80" s="14" t="s">
        <v>557</v>
      </c>
    </row>
    <row r="81" spans="1:70" s="56" customFormat="1" ht="13.95" customHeight="1" x14ac:dyDescent="0.3">
      <c r="A81" s="56" t="s">
        <v>459</v>
      </c>
      <c r="B81" s="57" t="s">
        <v>462</v>
      </c>
      <c r="C81" s="55" t="s">
        <v>395</v>
      </c>
      <c r="D81" s="58">
        <v>1</v>
      </c>
      <c r="E81" s="59"/>
      <c r="F81" s="60" t="s">
        <v>456</v>
      </c>
      <c r="G81" s="61" t="s">
        <v>389</v>
      </c>
      <c r="H81" s="61" t="s">
        <v>389</v>
      </c>
      <c r="I81" s="62" t="s">
        <v>389</v>
      </c>
      <c r="J81" s="63" t="s">
        <v>1853</v>
      </c>
      <c r="K81" s="99"/>
      <c r="L81" s="130">
        <v>499522376</v>
      </c>
      <c r="M81" s="109" t="s">
        <v>564</v>
      </c>
      <c r="N81" s="12" t="s">
        <v>1556</v>
      </c>
      <c r="O81" s="100" t="s">
        <v>1557</v>
      </c>
      <c r="P81" s="131">
        <v>739416335</v>
      </c>
      <c r="Q81" s="84"/>
      <c r="S81" s="105"/>
      <c r="T81" s="112"/>
      <c r="U81" s="170">
        <v>0</v>
      </c>
      <c r="V81" s="48">
        <f t="shared" si="17"/>
        <v>0</v>
      </c>
      <c r="W81" s="171">
        <f t="shared" si="18"/>
        <v>0</v>
      </c>
      <c r="X81" s="69">
        <v>0</v>
      </c>
      <c r="Y81" s="48">
        <f t="shared" si="19"/>
        <v>0</v>
      </c>
      <c r="Z81" s="137">
        <f t="shared" si="20"/>
        <v>0</v>
      </c>
      <c r="AA81" s="69">
        <v>0</v>
      </c>
      <c r="AB81" s="48">
        <f t="shared" si="21"/>
        <v>0</v>
      </c>
      <c r="AC81" s="137">
        <f t="shared" si="22"/>
        <v>0</v>
      </c>
      <c r="AD81" s="70">
        <f t="shared" si="23"/>
        <v>0</v>
      </c>
      <c r="AE81" s="71">
        <f t="shared" si="24"/>
        <v>0</v>
      </c>
      <c r="AF81" s="193">
        <f t="shared" si="25"/>
        <v>0</v>
      </c>
      <c r="AG81" s="185">
        <f t="shared" si="26"/>
        <v>0</v>
      </c>
      <c r="AH81" s="180">
        <f t="shared" si="27"/>
        <v>0</v>
      </c>
      <c r="AI81" s="189">
        <v>261</v>
      </c>
      <c r="AJ81" s="125">
        <v>1529.4744000000001</v>
      </c>
      <c r="AK81" s="149">
        <v>245</v>
      </c>
      <c r="AL81" s="221">
        <v>80</v>
      </c>
      <c r="AM81" s="216">
        <v>80.198019801980209</v>
      </c>
      <c r="AN81" s="213">
        <v>4.3103448275862073</v>
      </c>
      <c r="AO81" s="127">
        <v>3.5209999999999999</v>
      </c>
      <c r="AP81" s="133">
        <v>0.433</v>
      </c>
      <c r="AQ81" s="224">
        <f t="shared" si="28"/>
        <v>1.069672131147541</v>
      </c>
      <c r="AR81" s="158">
        <v>244</v>
      </c>
      <c r="AS81" s="229">
        <f t="shared" si="29"/>
        <v>0.26152304609218435</v>
      </c>
      <c r="AT81" s="230">
        <v>998</v>
      </c>
      <c r="AU81" s="203">
        <v>16.475095785440612</v>
      </c>
      <c r="AV81" s="204">
        <v>68.199233716475092</v>
      </c>
      <c r="AW81" s="205">
        <v>15.325670498084291</v>
      </c>
      <c r="AX81" s="123">
        <v>4.0461999999999998</v>
      </c>
      <c r="AY81" s="281">
        <v>12.307692307692308</v>
      </c>
      <c r="AZ81" s="282">
        <v>25.384615384615383</v>
      </c>
      <c r="BA81" s="283">
        <f t="shared" si="30"/>
        <v>62.307692307692307</v>
      </c>
      <c r="BB81" s="234">
        <v>85.454545454545453</v>
      </c>
      <c r="BC81" s="20">
        <v>2013</v>
      </c>
      <c r="BD81" s="263" t="s">
        <v>556</v>
      </c>
      <c r="BE81" s="261" t="s">
        <v>556</v>
      </c>
      <c r="BF81" s="260" t="s">
        <v>557</v>
      </c>
      <c r="BG81" s="256">
        <v>3.0188679245283021</v>
      </c>
      <c r="BH81" s="254" t="s">
        <v>557</v>
      </c>
      <c r="BI81" s="249">
        <v>0</v>
      </c>
      <c r="BJ81" s="309" t="s">
        <v>557</v>
      </c>
      <c r="BK81" s="307" t="s">
        <v>557</v>
      </c>
      <c r="BL81" s="319" t="s">
        <v>1728</v>
      </c>
      <c r="BM81" s="320" t="s">
        <v>556</v>
      </c>
      <c r="BN81" s="321" t="s">
        <v>1835</v>
      </c>
      <c r="BO81" s="145" t="s">
        <v>556</v>
      </c>
      <c r="BP81" s="14" t="s">
        <v>556</v>
      </c>
      <c r="BQ81" s="14" t="s">
        <v>557</v>
      </c>
    </row>
    <row r="82" spans="1:70" s="56" customFormat="1" ht="13.95" customHeight="1" x14ac:dyDescent="0.3">
      <c r="A82" s="56" t="s">
        <v>459</v>
      </c>
      <c r="B82" s="57" t="s">
        <v>462</v>
      </c>
      <c r="C82" s="55" t="s">
        <v>396</v>
      </c>
      <c r="D82" s="58">
        <v>2</v>
      </c>
      <c r="E82" s="59" t="s">
        <v>722</v>
      </c>
      <c r="F82" s="60" t="s">
        <v>456</v>
      </c>
      <c r="G82" s="61" t="s">
        <v>389</v>
      </c>
      <c r="H82" s="61" t="s">
        <v>389</v>
      </c>
      <c r="I82" s="62" t="s">
        <v>389</v>
      </c>
      <c r="J82" s="63" t="s">
        <v>1855</v>
      </c>
      <c r="K82" s="99" t="s">
        <v>1854</v>
      </c>
      <c r="L82" s="130">
        <v>499448222</v>
      </c>
      <c r="M82" s="109" t="s">
        <v>537</v>
      </c>
      <c r="N82" s="12" t="s">
        <v>1559</v>
      </c>
      <c r="O82" s="100" t="s">
        <v>1558</v>
      </c>
      <c r="P82" s="131">
        <v>724180501</v>
      </c>
      <c r="Q82" s="82"/>
      <c r="R82" s="72"/>
      <c r="S82" s="115"/>
      <c r="T82" s="112"/>
      <c r="U82" s="170">
        <v>220700</v>
      </c>
      <c r="V82" s="48">
        <f t="shared" si="17"/>
        <v>324.55882352941177</v>
      </c>
      <c r="W82" s="171">
        <f t="shared" si="18"/>
        <v>227.49823887294465</v>
      </c>
      <c r="X82" s="69">
        <f>669794+42000+10000</f>
        <v>721794</v>
      </c>
      <c r="Y82" s="48">
        <f t="shared" si="19"/>
        <v>1061.4617647058824</v>
      </c>
      <c r="Z82" s="137">
        <f t="shared" si="20"/>
        <v>744.02747543750888</v>
      </c>
      <c r="AA82" s="69">
        <v>0</v>
      </c>
      <c r="AB82" s="48">
        <f t="shared" si="21"/>
        <v>0</v>
      </c>
      <c r="AC82" s="137">
        <f t="shared" si="22"/>
        <v>0</v>
      </c>
      <c r="AD82" s="70">
        <f t="shared" si="23"/>
        <v>942494</v>
      </c>
      <c r="AE82" s="71">
        <f t="shared" si="24"/>
        <v>1386.0205882352941</v>
      </c>
      <c r="AF82" s="193">
        <f t="shared" si="25"/>
        <v>971.52571431045362</v>
      </c>
      <c r="AG82" s="185">
        <f t="shared" si="26"/>
        <v>1.8322200622083982E-2</v>
      </c>
      <c r="AH82" s="180">
        <f t="shared" si="27"/>
        <v>6.7057559587335461E-2</v>
      </c>
      <c r="AI82" s="189">
        <v>680</v>
      </c>
      <c r="AJ82" s="125">
        <v>970.11739999999998</v>
      </c>
      <c r="AK82" s="149">
        <v>270</v>
      </c>
      <c r="AL82" s="221">
        <v>198</v>
      </c>
      <c r="AM82" s="216">
        <v>88.627450980392155</v>
      </c>
      <c r="AN82" s="213">
        <v>10.280373831775702</v>
      </c>
      <c r="AO82" s="127">
        <v>10.288</v>
      </c>
      <c r="AP82" s="133">
        <v>2.8109999999999999</v>
      </c>
      <c r="AQ82" s="224">
        <f t="shared" si="28"/>
        <v>1.1544991511035654</v>
      </c>
      <c r="AR82" s="158">
        <v>589</v>
      </c>
      <c r="AS82" s="229">
        <f t="shared" si="29"/>
        <v>0.58570198105081828</v>
      </c>
      <c r="AT82" s="230">
        <v>1161</v>
      </c>
      <c r="AU82" s="203">
        <v>15</v>
      </c>
      <c r="AV82" s="204">
        <v>66.17647058823529</v>
      </c>
      <c r="AW82" s="205">
        <v>18.823529411764707</v>
      </c>
      <c r="AX82" s="123">
        <v>2.3809999999999998</v>
      </c>
      <c r="AY82" s="281">
        <v>8.1433224755700326</v>
      </c>
      <c r="AZ82" s="282">
        <v>48.859934853420192</v>
      </c>
      <c r="BA82" s="283">
        <f t="shared" si="30"/>
        <v>42.996742671009777</v>
      </c>
      <c r="BB82" s="234">
        <v>62.827225130890056</v>
      </c>
      <c r="BC82" s="20">
        <v>2010</v>
      </c>
      <c r="BD82" s="263" t="s">
        <v>556</v>
      </c>
      <c r="BE82" s="261" t="s">
        <v>556</v>
      </c>
      <c r="BF82" s="260" t="s">
        <v>557</v>
      </c>
      <c r="BG82" s="256">
        <v>6.3515509601181686</v>
      </c>
      <c r="BH82" s="254" t="s">
        <v>557</v>
      </c>
      <c r="BI82" s="249">
        <v>0</v>
      </c>
      <c r="BJ82" s="308" t="s">
        <v>556</v>
      </c>
      <c r="BK82" s="307" t="s">
        <v>750</v>
      </c>
      <c r="BL82" s="319" t="s">
        <v>1728</v>
      </c>
      <c r="BM82" s="320" t="s">
        <v>556</v>
      </c>
      <c r="BN82" s="321" t="s">
        <v>1789</v>
      </c>
      <c r="BO82" s="145" t="s">
        <v>556</v>
      </c>
      <c r="BP82" s="14" t="s">
        <v>556</v>
      </c>
      <c r="BQ82" s="14" t="s">
        <v>557</v>
      </c>
    </row>
    <row r="83" spans="1:70" s="56" customFormat="1" ht="13.95" customHeight="1" x14ac:dyDescent="0.3">
      <c r="A83" s="56" t="s">
        <v>459</v>
      </c>
      <c r="B83" s="57" t="s">
        <v>462</v>
      </c>
      <c r="C83" s="55" t="s">
        <v>397</v>
      </c>
      <c r="D83" s="58">
        <v>1</v>
      </c>
      <c r="E83" s="59"/>
      <c r="F83" s="60" t="s">
        <v>456</v>
      </c>
      <c r="G83" s="61" t="s">
        <v>389</v>
      </c>
      <c r="H83" s="61" t="s">
        <v>389</v>
      </c>
      <c r="I83" s="62" t="s">
        <v>389</v>
      </c>
      <c r="J83" s="63" t="s">
        <v>1857</v>
      </c>
      <c r="K83" s="99" t="s">
        <v>1856</v>
      </c>
      <c r="L83" s="130">
        <v>499522216</v>
      </c>
      <c r="M83" s="109" t="s">
        <v>564</v>
      </c>
      <c r="N83" s="12" t="s">
        <v>1560</v>
      </c>
      <c r="O83" s="100" t="s">
        <v>1561</v>
      </c>
      <c r="P83" s="131">
        <v>602213866</v>
      </c>
      <c r="Q83" s="84"/>
      <c r="S83" s="105"/>
      <c r="T83" s="112"/>
      <c r="U83" s="170">
        <v>160000</v>
      </c>
      <c r="V83" s="48">
        <f t="shared" si="17"/>
        <v>209.15032679738562</v>
      </c>
      <c r="W83" s="171">
        <f t="shared" si="18"/>
        <v>101.46294988434175</v>
      </c>
      <c r="X83" s="69">
        <v>179000</v>
      </c>
      <c r="Y83" s="48">
        <f t="shared" si="19"/>
        <v>233.98692810457516</v>
      </c>
      <c r="Z83" s="137">
        <f t="shared" si="20"/>
        <v>113.51167518310733</v>
      </c>
      <c r="AA83" s="69">
        <v>0</v>
      </c>
      <c r="AB83" s="48">
        <f t="shared" si="21"/>
        <v>0</v>
      </c>
      <c r="AC83" s="137">
        <f t="shared" si="22"/>
        <v>0</v>
      </c>
      <c r="AD83" s="70">
        <f t="shared" si="23"/>
        <v>339000</v>
      </c>
      <c r="AE83" s="71">
        <f t="shared" si="24"/>
        <v>443.13725490196077</v>
      </c>
      <c r="AF83" s="193">
        <f t="shared" si="25"/>
        <v>214.9746250674491</v>
      </c>
      <c r="AG83" s="185">
        <f t="shared" si="26"/>
        <v>6.381777108433735E-3</v>
      </c>
      <c r="AH83" s="180">
        <f t="shared" si="27"/>
        <v>1.6548694166463263E-2</v>
      </c>
      <c r="AI83" s="189">
        <v>765</v>
      </c>
      <c r="AJ83" s="125">
        <v>1576.9303</v>
      </c>
      <c r="AK83" s="149">
        <v>278</v>
      </c>
      <c r="AL83" s="221">
        <v>215</v>
      </c>
      <c r="AM83" s="216">
        <v>88.389513108614238</v>
      </c>
      <c r="AN83" s="213">
        <v>3.0864197530864197</v>
      </c>
      <c r="AO83" s="127">
        <v>10.624000000000001</v>
      </c>
      <c r="AP83" s="133">
        <v>4.0970000000000004</v>
      </c>
      <c r="AQ83" s="224">
        <f t="shared" si="28"/>
        <v>1.2066246056782335</v>
      </c>
      <c r="AR83" s="158">
        <v>634</v>
      </c>
      <c r="AS83" s="229">
        <f t="shared" si="29"/>
        <v>0.48356510745891279</v>
      </c>
      <c r="AT83" s="230">
        <v>1582</v>
      </c>
      <c r="AU83" s="203">
        <v>19.215686274509807</v>
      </c>
      <c r="AV83" s="204">
        <v>65.751633986928098</v>
      </c>
      <c r="AW83" s="205">
        <v>15.032679738562091</v>
      </c>
      <c r="AX83" s="123">
        <v>3.6821999999999999</v>
      </c>
      <c r="AY83" s="281">
        <v>4.8850574712643677</v>
      </c>
      <c r="AZ83" s="282">
        <v>45.114942528735632</v>
      </c>
      <c r="BA83" s="283">
        <f t="shared" si="30"/>
        <v>50.000000000000007</v>
      </c>
      <c r="BB83" s="234">
        <v>85.714285714285708</v>
      </c>
      <c r="BC83" s="20">
        <v>2010</v>
      </c>
      <c r="BD83" s="263" t="s">
        <v>556</v>
      </c>
      <c r="BE83" s="262" t="s">
        <v>557</v>
      </c>
      <c r="BF83" s="260" t="s">
        <v>557</v>
      </c>
      <c r="BG83" s="256">
        <v>0</v>
      </c>
      <c r="BH83" s="254" t="s">
        <v>557</v>
      </c>
      <c r="BI83" s="249">
        <v>0</v>
      </c>
      <c r="BJ83" s="308" t="s">
        <v>556</v>
      </c>
      <c r="BK83" s="307" t="s">
        <v>556</v>
      </c>
      <c r="BL83" s="319" t="s">
        <v>1728</v>
      </c>
      <c r="BM83" s="320" t="s">
        <v>556</v>
      </c>
      <c r="BN83" s="321" t="s">
        <v>557</v>
      </c>
      <c r="BO83" s="145" t="s">
        <v>557</v>
      </c>
      <c r="BP83" s="14" t="s">
        <v>556</v>
      </c>
      <c r="BQ83" s="14" t="s">
        <v>557</v>
      </c>
    </row>
    <row r="84" spans="1:70" s="56" customFormat="1" ht="13.95" customHeight="1" x14ac:dyDescent="0.3">
      <c r="A84" s="56" t="s">
        <v>459</v>
      </c>
      <c r="B84" s="57" t="s">
        <v>462</v>
      </c>
      <c r="C84" s="55" t="s">
        <v>136</v>
      </c>
      <c r="D84" s="58">
        <v>1</v>
      </c>
      <c r="E84" s="59"/>
      <c r="F84" s="60" t="s">
        <v>453</v>
      </c>
      <c r="G84" s="61" t="s">
        <v>113</v>
      </c>
      <c r="H84" s="61" t="s">
        <v>113</v>
      </c>
      <c r="I84" s="62" t="s">
        <v>113</v>
      </c>
      <c r="J84" s="63" t="s">
        <v>1859</v>
      </c>
      <c r="K84" s="99" t="s">
        <v>2486</v>
      </c>
      <c r="L84" s="130">
        <v>493532149</v>
      </c>
      <c r="M84" s="109" t="s">
        <v>537</v>
      </c>
      <c r="N84" s="12" t="s">
        <v>1046</v>
      </c>
      <c r="O84" s="100"/>
      <c r="P84" s="131">
        <v>734717369</v>
      </c>
      <c r="Q84" s="67"/>
      <c r="R84" s="68"/>
      <c r="S84" s="99"/>
      <c r="T84" s="65"/>
      <c r="U84" s="170">
        <v>464469</v>
      </c>
      <c r="V84" s="48">
        <f t="shared" si="17"/>
        <v>9107.2352941176468</v>
      </c>
      <c r="W84" s="171">
        <f t="shared" si="18"/>
        <v>2930.7421613978145</v>
      </c>
      <c r="X84" s="69">
        <v>35000</v>
      </c>
      <c r="Y84" s="48">
        <f t="shared" si="19"/>
        <v>686.27450980392155</v>
      </c>
      <c r="Z84" s="137">
        <f t="shared" si="20"/>
        <v>220.84568754625931</v>
      </c>
      <c r="AA84" s="69">
        <v>0</v>
      </c>
      <c r="AB84" s="48">
        <f t="shared" si="21"/>
        <v>0</v>
      </c>
      <c r="AC84" s="137">
        <f t="shared" si="22"/>
        <v>0</v>
      </c>
      <c r="AD84" s="70">
        <f t="shared" si="23"/>
        <v>499469</v>
      </c>
      <c r="AE84" s="71">
        <f t="shared" si="24"/>
        <v>9793.5098039215682</v>
      </c>
      <c r="AF84" s="193">
        <f t="shared" si="25"/>
        <v>3151.5878489440738</v>
      </c>
      <c r="AG84" s="185">
        <f t="shared" si="26"/>
        <v>8.7091368788142984E-2</v>
      </c>
      <c r="AH84" s="180">
        <f t="shared" si="27"/>
        <v>0.16376032786885247</v>
      </c>
      <c r="AI84" s="189">
        <v>51</v>
      </c>
      <c r="AJ84" s="125">
        <v>158.48169999999999</v>
      </c>
      <c r="AK84" s="149">
        <v>49</v>
      </c>
      <c r="AL84" s="221">
        <v>21</v>
      </c>
      <c r="AM84" s="216">
        <v>95.454545454545453</v>
      </c>
      <c r="AN84" s="213">
        <v>2.5641025641025639</v>
      </c>
      <c r="AO84" s="127">
        <v>1.147</v>
      </c>
      <c r="AP84" s="133">
        <v>0.61</v>
      </c>
      <c r="AQ84" s="224">
        <f t="shared" si="28"/>
        <v>1.1086956521739131</v>
      </c>
      <c r="AR84" s="158">
        <v>46</v>
      </c>
      <c r="AS84" s="229">
        <f t="shared" si="29"/>
        <v>0.38931297709923662</v>
      </c>
      <c r="AT84" s="230">
        <v>131</v>
      </c>
      <c r="AU84" s="203">
        <v>21.568627450980394</v>
      </c>
      <c r="AV84" s="204">
        <v>62.745098039215691</v>
      </c>
      <c r="AW84" s="205">
        <v>15.686274509803921</v>
      </c>
      <c r="AX84" s="123">
        <v>3.2258</v>
      </c>
      <c r="AY84" s="281">
        <v>5</v>
      </c>
      <c r="AZ84" s="282">
        <v>35</v>
      </c>
      <c r="BA84" s="283">
        <f t="shared" si="30"/>
        <v>60</v>
      </c>
      <c r="BB84" s="234">
        <v>100</v>
      </c>
      <c r="BC84" s="20">
        <v>2015</v>
      </c>
      <c r="BD84" s="263" t="s">
        <v>556</v>
      </c>
      <c r="BE84" s="261" t="s">
        <v>556</v>
      </c>
      <c r="BF84" s="260" t="s">
        <v>557</v>
      </c>
      <c r="BG84" s="256">
        <v>4.3478260869565215</v>
      </c>
      <c r="BH84" s="254" t="s">
        <v>557</v>
      </c>
      <c r="BI84" s="249">
        <v>0</v>
      </c>
      <c r="BJ84" s="309" t="s">
        <v>557</v>
      </c>
      <c r="BK84" s="307" t="s">
        <v>557</v>
      </c>
      <c r="BL84" s="319" t="s">
        <v>557</v>
      </c>
      <c r="BM84" s="320" t="s">
        <v>557</v>
      </c>
      <c r="BN84" s="321" t="s">
        <v>557</v>
      </c>
      <c r="BO84" s="145" t="s">
        <v>557</v>
      </c>
      <c r="BP84" s="14" t="s">
        <v>557</v>
      </c>
      <c r="BQ84" s="14" t="s">
        <v>557</v>
      </c>
      <c r="BR84" s="72"/>
    </row>
    <row r="85" spans="1:70" s="56" customFormat="1" ht="13.95" customHeight="1" x14ac:dyDescent="0.3">
      <c r="A85" s="56" t="s">
        <v>459</v>
      </c>
      <c r="B85" s="57" t="s">
        <v>462</v>
      </c>
      <c r="C85" s="55" t="s">
        <v>398</v>
      </c>
      <c r="D85" s="58">
        <v>1</v>
      </c>
      <c r="E85" s="97" t="s">
        <v>997</v>
      </c>
      <c r="F85" s="60" t="s">
        <v>456</v>
      </c>
      <c r="G85" s="61" t="s">
        <v>378</v>
      </c>
      <c r="H85" s="61" t="s">
        <v>378</v>
      </c>
      <c r="I85" s="62" t="s">
        <v>390</v>
      </c>
      <c r="J85" s="63" t="s">
        <v>1860</v>
      </c>
      <c r="K85" s="99" t="s">
        <v>1563</v>
      </c>
      <c r="L85" s="130">
        <v>499441518</v>
      </c>
      <c r="M85" s="109" t="s">
        <v>537</v>
      </c>
      <c r="N85" s="12" t="s">
        <v>1562</v>
      </c>
      <c r="O85" s="100"/>
      <c r="P85" s="131"/>
      <c r="Q85" s="84"/>
      <c r="S85" s="105"/>
      <c r="T85" s="112"/>
      <c r="U85" s="170">
        <v>400000</v>
      </c>
      <c r="V85" s="48">
        <f t="shared" si="17"/>
        <v>1044.3864229765013</v>
      </c>
      <c r="W85" s="171">
        <f t="shared" si="18"/>
        <v>317.43892812301772</v>
      </c>
      <c r="X85" s="69">
        <v>284212</v>
      </c>
      <c r="Y85" s="48">
        <f t="shared" si="19"/>
        <v>742.06788511749346</v>
      </c>
      <c r="Z85" s="137">
        <f t="shared" si="20"/>
        <v>225.54988159924778</v>
      </c>
      <c r="AA85" s="69">
        <v>600000</v>
      </c>
      <c r="AB85" s="48">
        <f t="shared" si="21"/>
        <v>1566.579634464752</v>
      </c>
      <c r="AC85" s="137">
        <f t="shared" si="22"/>
        <v>476.15839218452658</v>
      </c>
      <c r="AD85" s="70">
        <f t="shared" si="23"/>
        <v>1284212</v>
      </c>
      <c r="AE85" s="71">
        <f t="shared" si="24"/>
        <v>3353.0339425587467</v>
      </c>
      <c r="AF85" s="193">
        <f t="shared" si="25"/>
        <v>1019.1472019067921</v>
      </c>
      <c r="AG85" s="185">
        <f t="shared" si="26"/>
        <v>3.5841808540329333E-2</v>
      </c>
      <c r="AH85" s="180">
        <f t="shared" si="27"/>
        <v>0.19802806476484192</v>
      </c>
      <c r="AI85" s="189">
        <v>383</v>
      </c>
      <c r="AJ85" s="125">
        <v>1260.0849000000001</v>
      </c>
      <c r="AK85" s="149">
        <v>168</v>
      </c>
      <c r="AL85" s="221">
        <v>113</v>
      </c>
      <c r="AM85" s="216">
        <v>88.235294117647058</v>
      </c>
      <c r="AN85" s="213">
        <v>14.207650273224045</v>
      </c>
      <c r="AO85" s="127">
        <v>7.1660000000000004</v>
      </c>
      <c r="AP85" s="133">
        <v>1.2969999999999999</v>
      </c>
      <c r="AQ85" s="224">
        <f t="shared" si="28"/>
        <v>1.2598684210526316</v>
      </c>
      <c r="AR85" s="158">
        <v>304</v>
      </c>
      <c r="AS85" s="229">
        <f t="shared" si="29"/>
        <v>0.37438905180840665</v>
      </c>
      <c r="AT85" s="230">
        <v>1023</v>
      </c>
      <c r="AU85" s="203">
        <v>17.75456919060052</v>
      </c>
      <c r="AV85" s="204">
        <v>69.451697127937337</v>
      </c>
      <c r="AW85" s="205">
        <v>12.793733681462141</v>
      </c>
      <c r="AX85" s="123">
        <v>4.1353</v>
      </c>
      <c r="AY85" s="281">
        <v>7.6923076923076925</v>
      </c>
      <c r="AZ85" s="282">
        <v>32.867132867132867</v>
      </c>
      <c r="BA85" s="283">
        <f t="shared" si="30"/>
        <v>59.44055944055944</v>
      </c>
      <c r="BB85" s="234">
        <v>88.235294117647058</v>
      </c>
      <c r="BC85" s="20" t="s">
        <v>557</v>
      </c>
      <c r="BD85" s="263" t="s">
        <v>556</v>
      </c>
      <c r="BE85" s="261" t="s">
        <v>556</v>
      </c>
      <c r="BF85" s="259" t="s">
        <v>556</v>
      </c>
      <c r="BG85" s="256">
        <v>17.352941176470587</v>
      </c>
      <c r="BH85" s="254" t="s">
        <v>557</v>
      </c>
      <c r="BI85" s="249">
        <v>0</v>
      </c>
      <c r="BJ85" s="308" t="s">
        <v>556</v>
      </c>
      <c r="BK85" s="307" t="s">
        <v>750</v>
      </c>
      <c r="BL85" s="319" t="s">
        <v>1728</v>
      </c>
      <c r="BM85" s="320" t="s">
        <v>557</v>
      </c>
      <c r="BN85" s="321" t="s">
        <v>557</v>
      </c>
      <c r="BO85" s="145" t="s">
        <v>556</v>
      </c>
      <c r="BP85" s="14" t="s">
        <v>556</v>
      </c>
      <c r="BQ85" s="14" t="s">
        <v>557</v>
      </c>
    </row>
    <row r="86" spans="1:70" s="56" customFormat="1" ht="13.95" customHeight="1" x14ac:dyDescent="0.3">
      <c r="A86" s="56" t="s">
        <v>459</v>
      </c>
      <c r="B86" s="57" t="s">
        <v>462</v>
      </c>
      <c r="C86" s="55" t="s">
        <v>25</v>
      </c>
      <c r="D86" s="58">
        <v>5</v>
      </c>
      <c r="E86" s="59" t="s">
        <v>468</v>
      </c>
      <c r="F86" s="60" t="s">
        <v>452</v>
      </c>
      <c r="G86" s="61" t="s">
        <v>11</v>
      </c>
      <c r="H86" s="61" t="s">
        <v>16</v>
      </c>
      <c r="I86" s="62" t="s">
        <v>16</v>
      </c>
      <c r="J86" s="63" t="s">
        <v>1858</v>
      </c>
      <c r="K86" s="99" t="s">
        <v>815</v>
      </c>
      <c r="L86" s="130">
        <v>495441076</v>
      </c>
      <c r="M86" s="109" t="s">
        <v>564</v>
      </c>
      <c r="N86" s="12" t="s">
        <v>816</v>
      </c>
      <c r="O86" s="100"/>
      <c r="P86" s="131">
        <v>603154085</v>
      </c>
      <c r="Q86" s="67"/>
      <c r="R86" s="68"/>
      <c r="S86" s="99"/>
      <c r="T86" s="65"/>
      <c r="U86" s="170">
        <f>333000+31737+16689</f>
        <v>381426</v>
      </c>
      <c r="V86" s="48">
        <f t="shared" si="17"/>
        <v>563.4062038404727</v>
      </c>
      <c r="W86" s="171">
        <f t="shared" si="18"/>
        <v>351.99960723434469</v>
      </c>
      <c r="X86" s="69">
        <v>0</v>
      </c>
      <c r="Y86" s="48">
        <f t="shared" si="19"/>
        <v>0</v>
      </c>
      <c r="Z86" s="137">
        <f t="shared" si="20"/>
        <v>0</v>
      </c>
      <c r="AA86" s="69">
        <v>0</v>
      </c>
      <c r="AB86" s="48">
        <f t="shared" si="21"/>
        <v>0</v>
      </c>
      <c r="AC86" s="137">
        <f t="shared" si="22"/>
        <v>0</v>
      </c>
      <c r="AD86" s="70">
        <f t="shared" si="23"/>
        <v>381426</v>
      </c>
      <c r="AE86" s="71">
        <f t="shared" si="24"/>
        <v>563.4062038404727</v>
      </c>
      <c r="AF86" s="193">
        <f t="shared" si="25"/>
        <v>351.99960723434469</v>
      </c>
      <c r="AG86" s="185">
        <f t="shared" si="26"/>
        <v>9.4599702380952378E-3</v>
      </c>
      <c r="AH86" s="180">
        <f t="shared" si="27"/>
        <v>9.8559689922480612E-2</v>
      </c>
      <c r="AI86" s="189">
        <v>677</v>
      </c>
      <c r="AJ86" s="125">
        <v>1083.5978</v>
      </c>
      <c r="AK86" s="149">
        <v>289</v>
      </c>
      <c r="AL86" s="221">
        <v>188</v>
      </c>
      <c r="AM86" s="216">
        <v>94.273127753303967</v>
      </c>
      <c r="AN86" s="213">
        <v>7.5342465753424657</v>
      </c>
      <c r="AO86" s="127">
        <v>8.0640000000000001</v>
      </c>
      <c r="AP86" s="133">
        <v>0.77400000000000002</v>
      </c>
      <c r="AQ86" s="224">
        <f t="shared" si="28"/>
        <v>1.3459244532803181</v>
      </c>
      <c r="AR86" s="158">
        <v>503</v>
      </c>
      <c r="AS86" s="229">
        <f t="shared" si="29"/>
        <v>0.71263157894736839</v>
      </c>
      <c r="AT86" s="230">
        <v>950</v>
      </c>
      <c r="AU86" s="203">
        <v>15.952732644017726</v>
      </c>
      <c r="AV86" s="204">
        <v>64.844903988183162</v>
      </c>
      <c r="AW86" s="205">
        <v>19.202363367799112</v>
      </c>
      <c r="AX86" s="123">
        <v>3.8288000000000002</v>
      </c>
      <c r="AY86" s="281">
        <v>4.3333333333333339</v>
      </c>
      <c r="AZ86" s="282">
        <v>32.666666666666664</v>
      </c>
      <c r="BA86" s="283">
        <f t="shared" si="30"/>
        <v>63.000000000000007</v>
      </c>
      <c r="BB86" s="234">
        <v>76.428571428571431</v>
      </c>
      <c r="BC86" s="20">
        <v>2006</v>
      </c>
      <c r="BD86" s="263" t="s">
        <v>556</v>
      </c>
      <c r="BE86" s="261" t="s">
        <v>556</v>
      </c>
      <c r="BF86" s="259" t="s">
        <v>556</v>
      </c>
      <c r="BG86" s="256">
        <v>54.707792207792203</v>
      </c>
      <c r="BH86" s="248" t="s">
        <v>556</v>
      </c>
      <c r="BI86" s="249">
        <v>75.680272108843539</v>
      </c>
      <c r="BJ86" s="308" t="s">
        <v>556</v>
      </c>
      <c r="BK86" s="307" t="s">
        <v>750</v>
      </c>
      <c r="BL86" s="319" t="s">
        <v>1728</v>
      </c>
      <c r="BM86" s="320" t="s">
        <v>556</v>
      </c>
      <c r="BN86" s="321" t="s">
        <v>1835</v>
      </c>
      <c r="BO86" s="145" t="s">
        <v>556</v>
      </c>
      <c r="BP86" s="14">
        <v>2</v>
      </c>
      <c r="BQ86" s="14" t="s">
        <v>557</v>
      </c>
    </row>
    <row r="87" spans="1:70" s="56" customFormat="1" ht="13.95" customHeight="1" x14ac:dyDescent="0.3">
      <c r="A87" s="56" t="s">
        <v>459</v>
      </c>
      <c r="B87" s="57" t="s">
        <v>462</v>
      </c>
      <c r="C87" s="55" t="s">
        <v>243</v>
      </c>
      <c r="D87" s="58">
        <v>1</v>
      </c>
      <c r="E87" s="59"/>
      <c r="F87" s="60" t="s">
        <v>454</v>
      </c>
      <c r="G87" s="61" t="s">
        <v>226</v>
      </c>
      <c r="H87" s="61" t="s">
        <v>226</v>
      </c>
      <c r="I87" s="62" t="s">
        <v>226</v>
      </c>
      <c r="J87" s="63" t="s">
        <v>1861</v>
      </c>
      <c r="K87" s="99" t="s">
        <v>1676</v>
      </c>
      <c r="L87" s="130">
        <v>491424724</v>
      </c>
      <c r="M87" s="109" t="s">
        <v>564</v>
      </c>
      <c r="N87" s="12" t="s">
        <v>1275</v>
      </c>
      <c r="O87" s="100"/>
      <c r="P87" s="131">
        <v>724179769</v>
      </c>
      <c r="Q87" s="67"/>
      <c r="R87" s="68"/>
      <c r="S87" s="99"/>
      <c r="T87" s="65"/>
      <c r="U87" s="170">
        <f>654000+130000+470000</f>
        <v>1254000</v>
      </c>
      <c r="V87" s="48">
        <f t="shared" si="17"/>
        <v>1599.4897959183672</v>
      </c>
      <c r="W87" s="171">
        <f t="shared" si="18"/>
        <v>2983.0253014782388</v>
      </c>
      <c r="X87" s="69">
        <v>117720</v>
      </c>
      <c r="Y87" s="48">
        <f t="shared" si="19"/>
        <v>150.15306122448979</v>
      </c>
      <c r="Z87" s="137">
        <f t="shared" si="20"/>
        <v>280.03328428231123</v>
      </c>
      <c r="AA87" s="69">
        <v>0</v>
      </c>
      <c r="AB87" s="48">
        <f t="shared" si="21"/>
        <v>0</v>
      </c>
      <c r="AC87" s="137">
        <f t="shared" si="22"/>
        <v>0</v>
      </c>
      <c r="AD87" s="70">
        <f t="shared" si="23"/>
        <v>1371720</v>
      </c>
      <c r="AE87" s="71">
        <f t="shared" si="24"/>
        <v>1749.6428571428571</v>
      </c>
      <c r="AF87" s="193">
        <f t="shared" si="25"/>
        <v>3263.0585857605502</v>
      </c>
      <c r="AG87" s="185">
        <f t="shared" si="26"/>
        <v>2.9018828009308231E-2</v>
      </c>
      <c r="AH87" s="180">
        <f t="shared" si="27"/>
        <v>7.631265646731572E-2</v>
      </c>
      <c r="AI87" s="189">
        <v>784</v>
      </c>
      <c r="AJ87" s="125">
        <v>420.37860000000001</v>
      </c>
      <c r="AK87" s="149">
        <v>320</v>
      </c>
      <c r="AL87" s="221">
        <v>228</v>
      </c>
      <c r="AM87" s="216">
        <v>96.126760563380287</v>
      </c>
      <c r="AN87" s="213">
        <v>7.71513353115727</v>
      </c>
      <c r="AO87" s="127">
        <v>9.4540000000000006</v>
      </c>
      <c r="AP87" s="133">
        <v>3.5950000000000002</v>
      </c>
      <c r="AQ87" s="224">
        <f t="shared" si="28"/>
        <v>1.1896813353566009</v>
      </c>
      <c r="AR87" s="158">
        <v>659</v>
      </c>
      <c r="AS87" s="229">
        <f t="shared" si="29"/>
        <v>0.83671291355389543</v>
      </c>
      <c r="AT87" s="230">
        <v>937</v>
      </c>
      <c r="AU87" s="203">
        <v>13.77551020408163</v>
      </c>
      <c r="AV87" s="204">
        <v>67.219387755102048</v>
      </c>
      <c r="AW87" s="205">
        <v>19.005102040816325</v>
      </c>
      <c r="AX87" s="123">
        <v>3.5781999999999998</v>
      </c>
      <c r="AY87" s="281">
        <v>2.6239067055393588</v>
      </c>
      <c r="AZ87" s="282">
        <v>39.358600583090379</v>
      </c>
      <c r="BA87" s="283">
        <f t="shared" si="30"/>
        <v>58.017492711370267</v>
      </c>
      <c r="BB87" s="234">
        <v>82.222222222222214</v>
      </c>
      <c r="BC87" s="20">
        <v>2013</v>
      </c>
      <c r="BD87" s="263" t="s">
        <v>556</v>
      </c>
      <c r="BE87" s="261" t="s">
        <v>556</v>
      </c>
      <c r="BF87" s="259" t="s">
        <v>556</v>
      </c>
      <c r="BG87" s="256">
        <v>78.726287262872631</v>
      </c>
      <c r="BH87" s="248" t="s">
        <v>556</v>
      </c>
      <c r="BI87" s="249">
        <v>38.5049365303244</v>
      </c>
      <c r="BJ87" s="308" t="s">
        <v>556</v>
      </c>
      <c r="BK87" s="307" t="s">
        <v>750</v>
      </c>
      <c r="BL87" s="319" t="s">
        <v>1728</v>
      </c>
      <c r="BM87" s="320" t="s">
        <v>556</v>
      </c>
      <c r="BN87" s="321" t="s">
        <v>1791</v>
      </c>
      <c r="BO87" s="145" t="s">
        <v>556</v>
      </c>
      <c r="BP87" s="14" t="s">
        <v>556</v>
      </c>
      <c r="BQ87" s="14" t="s">
        <v>557</v>
      </c>
    </row>
    <row r="88" spans="1:70" s="56" customFormat="1" ht="13.95" customHeight="1" x14ac:dyDescent="0.3">
      <c r="A88" s="56" t="s">
        <v>459</v>
      </c>
      <c r="B88" s="57" t="s">
        <v>462</v>
      </c>
      <c r="C88" s="55" t="s">
        <v>399</v>
      </c>
      <c r="D88" s="58">
        <v>3</v>
      </c>
      <c r="E88" s="59" t="s">
        <v>723</v>
      </c>
      <c r="F88" s="60" t="s">
        <v>456</v>
      </c>
      <c r="G88" s="61" t="s">
        <v>531</v>
      </c>
      <c r="H88" s="61" t="s">
        <v>531</v>
      </c>
      <c r="I88" s="62" t="s">
        <v>531</v>
      </c>
      <c r="J88" s="63" t="s">
        <v>1862</v>
      </c>
      <c r="K88" s="99" t="s">
        <v>1566</v>
      </c>
      <c r="L88" s="130">
        <v>499397129</v>
      </c>
      <c r="M88" s="109" t="s">
        <v>564</v>
      </c>
      <c r="N88" s="12" t="s">
        <v>1567</v>
      </c>
      <c r="O88" s="100" t="s">
        <v>1863</v>
      </c>
      <c r="P88" s="131">
        <v>604207887</v>
      </c>
      <c r="Q88" s="82"/>
      <c r="R88" s="72"/>
      <c r="S88" s="115"/>
      <c r="T88" s="112"/>
      <c r="U88" s="170">
        <v>306547</v>
      </c>
      <c r="V88" s="48">
        <f t="shared" si="17"/>
        <v>800.38381201044388</v>
      </c>
      <c r="W88" s="171">
        <f t="shared" si="18"/>
        <v>541.9913475021566</v>
      </c>
      <c r="X88" s="69">
        <v>20000</v>
      </c>
      <c r="Y88" s="48">
        <f t="shared" si="19"/>
        <v>52.219321148825067</v>
      </c>
      <c r="Z88" s="137">
        <f t="shared" si="20"/>
        <v>35.361060294320716</v>
      </c>
      <c r="AA88" s="69">
        <v>0</v>
      </c>
      <c r="AB88" s="48">
        <f t="shared" si="21"/>
        <v>0</v>
      </c>
      <c r="AC88" s="137">
        <f t="shared" si="22"/>
        <v>0</v>
      </c>
      <c r="AD88" s="70">
        <f t="shared" si="23"/>
        <v>326547</v>
      </c>
      <c r="AE88" s="71">
        <f t="shared" si="24"/>
        <v>852.60313315926896</v>
      </c>
      <c r="AF88" s="193">
        <f t="shared" si="25"/>
        <v>577.35240779647734</v>
      </c>
      <c r="AG88" s="185">
        <f t="shared" si="26"/>
        <v>1.5752387843704776E-2</v>
      </c>
      <c r="AH88" s="180">
        <f t="shared" si="27"/>
        <v>0.11202298456260722</v>
      </c>
      <c r="AI88" s="189">
        <v>383</v>
      </c>
      <c r="AJ88" s="125">
        <v>565.59389999999996</v>
      </c>
      <c r="AK88" s="149">
        <v>225</v>
      </c>
      <c r="AL88" s="221">
        <v>120</v>
      </c>
      <c r="AM88" s="216">
        <v>94.927536231884062</v>
      </c>
      <c r="AN88" s="213">
        <v>18.636363636363633</v>
      </c>
      <c r="AO88" s="127">
        <v>4.1459999999999999</v>
      </c>
      <c r="AP88" s="133">
        <v>0.58299999999999996</v>
      </c>
      <c r="AQ88" s="224">
        <f t="shared" si="28"/>
        <v>1</v>
      </c>
      <c r="AR88" s="158">
        <v>383</v>
      </c>
      <c r="AS88" s="229">
        <f t="shared" si="29"/>
        <v>0.40831556503198296</v>
      </c>
      <c r="AT88" s="230">
        <v>938</v>
      </c>
      <c r="AU88" s="203">
        <v>13.054830287206268</v>
      </c>
      <c r="AV88" s="204">
        <v>63.707571801566573</v>
      </c>
      <c r="AW88" s="205">
        <v>23.237597911227155</v>
      </c>
      <c r="AX88" s="123">
        <v>8.6419999999999995</v>
      </c>
      <c r="AY88" s="281">
        <v>8.3333333333333321</v>
      </c>
      <c r="AZ88" s="282">
        <v>34.027777777777779</v>
      </c>
      <c r="BA88" s="283">
        <f t="shared" si="30"/>
        <v>57.638888888888893</v>
      </c>
      <c r="BB88" s="234">
        <v>87.037037037037038</v>
      </c>
      <c r="BC88" s="20">
        <v>2010</v>
      </c>
      <c r="BD88" s="263" t="s">
        <v>556</v>
      </c>
      <c r="BE88" s="262" t="s">
        <v>557</v>
      </c>
      <c r="BF88" s="260" t="s">
        <v>557</v>
      </c>
      <c r="BG88" s="256">
        <v>0</v>
      </c>
      <c r="BH88" s="248" t="s">
        <v>556</v>
      </c>
      <c r="BI88" s="249">
        <v>45.403899721448468</v>
      </c>
      <c r="BJ88" s="309" t="s">
        <v>557</v>
      </c>
      <c r="BK88" s="307" t="s">
        <v>557</v>
      </c>
      <c r="BL88" s="319" t="s">
        <v>557</v>
      </c>
      <c r="BM88" s="320" t="s">
        <v>556</v>
      </c>
      <c r="BN88" s="321" t="s">
        <v>1838</v>
      </c>
      <c r="BO88" s="145" t="s">
        <v>556</v>
      </c>
      <c r="BP88" s="14" t="s">
        <v>557</v>
      </c>
      <c r="BQ88" s="14" t="s">
        <v>557</v>
      </c>
      <c r="BR88" s="72"/>
    </row>
    <row r="89" spans="1:70" s="56" customFormat="1" ht="13.95" customHeight="1" x14ac:dyDescent="0.3">
      <c r="A89" s="56" t="s">
        <v>459</v>
      </c>
      <c r="B89" s="57" t="s">
        <v>463</v>
      </c>
      <c r="C89" s="55" t="s">
        <v>323</v>
      </c>
      <c r="D89" s="58">
        <v>2</v>
      </c>
      <c r="E89" s="59" t="s">
        <v>692</v>
      </c>
      <c r="F89" s="60" t="s">
        <v>455</v>
      </c>
      <c r="G89" s="61" t="s">
        <v>529</v>
      </c>
      <c r="H89" s="61" t="s">
        <v>529</v>
      </c>
      <c r="I89" s="62" t="s">
        <v>529</v>
      </c>
      <c r="J89" s="63" t="s">
        <v>1865</v>
      </c>
      <c r="K89" s="99" t="s">
        <v>1864</v>
      </c>
      <c r="L89" s="130">
        <v>494383137</v>
      </c>
      <c r="M89" s="109" t="s">
        <v>564</v>
      </c>
      <c r="N89" s="12" t="s">
        <v>1427</v>
      </c>
      <c r="O89" s="100" t="s">
        <v>1428</v>
      </c>
      <c r="P89" s="131" t="s">
        <v>1866</v>
      </c>
      <c r="Q89" s="67"/>
      <c r="R89" s="68"/>
      <c r="S89" s="99"/>
      <c r="T89" s="112"/>
      <c r="U89" s="170">
        <v>28000</v>
      </c>
      <c r="V89" s="48">
        <f t="shared" si="17"/>
        <v>15.09433962264151</v>
      </c>
      <c r="W89" s="171">
        <f t="shared" si="18"/>
        <v>31.46699230508418</v>
      </c>
      <c r="X89" s="69">
        <v>105160</v>
      </c>
      <c r="Y89" s="48">
        <f t="shared" si="19"/>
        <v>56.690026954177895</v>
      </c>
      <c r="Z89" s="137">
        <f t="shared" si="20"/>
        <v>118.18103252866615</v>
      </c>
      <c r="AA89" s="69">
        <v>0</v>
      </c>
      <c r="AB89" s="48">
        <f t="shared" si="21"/>
        <v>0</v>
      </c>
      <c r="AC89" s="137">
        <f t="shared" si="22"/>
        <v>0</v>
      </c>
      <c r="AD89" s="70">
        <f t="shared" si="23"/>
        <v>133160</v>
      </c>
      <c r="AE89" s="71">
        <f t="shared" si="24"/>
        <v>71.784366576819409</v>
      </c>
      <c r="AF89" s="193">
        <f t="shared" si="25"/>
        <v>149.64802483375033</v>
      </c>
      <c r="AG89" s="185">
        <f t="shared" si="26"/>
        <v>1.1693010186160869E-3</v>
      </c>
      <c r="AH89" s="180">
        <f t="shared" si="27"/>
        <v>4.0821581851624772E-3</v>
      </c>
      <c r="AI89" s="189">
        <v>1855</v>
      </c>
      <c r="AJ89" s="125">
        <v>889.82129999999995</v>
      </c>
      <c r="AK89" s="149">
        <v>618</v>
      </c>
      <c r="AL89" s="221">
        <v>483</v>
      </c>
      <c r="AM89" s="216">
        <v>67.808219178082197</v>
      </c>
      <c r="AN89" s="213">
        <v>3.3720930232558142</v>
      </c>
      <c r="AO89" s="127">
        <v>22.776</v>
      </c>
      <c r="AP89" s="133">
        <v>6.524</v>
      </c>
      <c r="AQ89" s="224">
        <f t="shared" si="28"/>
        <v>0.98304186539480654</v>
      </c>
      <c r="AR89" s="158">
        <v>1887</v>
      </c>
      <c r="AS89" s="229">
        <f t="shared" si="29"/>
        <v>0.74199999999999999</v>
      </c>
      <c r="AT89" s="230">
        <v>2500</v>
      </c>
      <c r="AU89" s="203">
        <v>14.123989218328841</v>
      </c>
      <c r="AV89" s="204">
        <v>65.876010781671155</v>
      </c>
      <c r="AW89" s="205">
        <v>20</v>
      </c>
      <c r="AX89" s="123">
        <v>3.0743999999999998</v>
      </c>
      <c r="AY89" s="281">
        <v>3.9840637450199203</v>
      </c>
      <c r="AZ89" s="282">
        <v>44.090305444887115</v>
      </c>
      <c r="BA89" s="283">
        <f t="shared" si="30"/>
        <v>51.925630810092962</v>
      </c>
      <c r="BB89" s="234">
        <v>71.505376344086017</v>
      </c>
      <c r="BC89" s="20">
        <v>2008</v>
      </c>
      <c r="BD89" s="263" t="s">
        <v>556</v>
      </c>
      <c r="BE89" s="261" t="s">
        <v>556</v>
      </c>
      <c r="BF89" s="260" t="s">
        <v>557</v>
      </c>
      <c r="BG89" s="256">
        <v>62.779017857142861</v>
      </c>
      <c r="BH89" s="248" t="s">
        <v>556</v>
      </c>
      <c r="BI89" s="249">
        <v>63.802236609770461</v>
      </c>
      <c r="BJ89" s="308" t="s">
        <v>556</v>
      </c>
      <c r="BK89" s="307" t="s">
        <v>556</v>
      </c>
      <c r="BL89" s="319" t="s">
        <v>1728</v>
      </c>
      <c r="BM89" s="320" t="s">
        <v>1687</v>
      </c>
      <c r="BN89" s="321" t="s">
        <v>1803</v>
      </c>
      <c r="BO89" s="145" t="s">
        <v>556</v>
      </c>
      <c r="BP89" s="14" t="s">
        <v>556</v>
      </c>
      <c r="BQ89" s="14" t="s">
        <v>556</v>
      </c>
    </row>
    <row r="90" spans="1:70" s="72" customFormat="1" ht="13.95" customHeight="1" x14ac:dyDescent="0.3">
      <c r="A90" s="56" t="s">
        <v>459</v>
      </c>
      <c r="B90" s="57" t="s">
        <v>462</v>
      </c>
      <c r="C90" s="55" t="s">
        <v>137</v>
      </c>
      <c r="D90" s="58">
        <v>2</v>
      </c>
      <c r="E90" s="59" t="s">
        <v>512</v>
      </c>
      <c r="F90" s="60" t="s">
        <v>453</v>
      </c>
      <c r="G90" s="61" t="s">
        <v>113</v>
      </c>
      <c r="H90" s="61" t="s">
        <v>113</v>
      </c>
      <c r="I90" s="62" t="s">
        <v>113</v>
      </c>
      <c r="J90" s="63" t="s">
        <v>1867</v>
      </c>
      <c r="K90" s="99" t="s">
        <v>1048</v>
      </c>
      <c r="L90" s="130">
        <v>493597235</v>
      </c>
      <c r="M90" s="109" t="s">
        <v>564</v>
      </c>
      <c r="N90" s="12" t="s">
        <v>1047</v>
      </c>
      <c r="O90" s="100"/>
      <c r="P90" s="131">
        <v>601395386</v>
      </c>
      <c r="Q90" s="67"/>
      <c r="R90" s="68"/>
      <c r="S90" s="99"/>
      <c r="T90" s="65"/>
      <c r="U90" s="170">
        <v>59000</v>
      </c>
      <c r="V90" s="48">
        <f t="shared" si="17"/>
        <v>262.22222222222223</v>
      </c>
      <c r="W90" s="171">
        <f t="shared" si="18"/>
        <v>113.77917929728049</v>
      </c>
      <c r="X90" s="69">
        <v>0</v>
      </c>
      <c r="Y90" s="48">
        <f t="shared" si="19"/>
        <v>0</v>
      </c>
      <c r="Z90" s="137">
        <f t="shared" si="20"/>
        <v>0</v>
      </c>
      <c r="AA90" s="69">
        <v>800000</v>
      </c>
      <c r="AB90" s="48">
        <f t="shared" si="21"/>
        <v>3555.5555555555557</v>
      </c>
      <c r="AC90" s="137">
        <f t="shared" si="22"/>
        <v>1542.7685328444813</v>
      </c>
      <c r="AD90" s="70">
        <f t="shared" si="23"/>
        <v>859000</v>
      </c>
      <c r="AE90" s="71">
        <f t="shared" si="24"/>
        <v>3817.7777777777778</v>
      </c>
      <c r="AF90" s="193">
        <f t="shared" si="25"/>
        <v>1656.5477121417618</v>
      </c>
      <c r="AG90" s="185">
        <f t="shared" si="26"/>
        <v>1.7021698206677895E-2</v>
      </c>
      <c r="AH90" s="180">
        <f t="shared" si="27"/>
        <v>2.0748792270531401E-2</v>
      </c>
      <c r="AI90" s="189">
        <v>225</v>
      </c>
      <c r="AJ90" s="125">
        <v>518.54830000000004</v>
      </c>
      <c r="AK90" s="149">
        <v>142</v>
      </c>
      <c r="AL90" s="221">
        <v>62</v>
      </c>
      <c r="AM90" s="216">
        <v>80.487804878048792</v>
      </c>
      <c r="AN90" s="213">
        <v>29.166666666666671</v>
      </c>
      <c r="AO90" s="127">
        <v>10.093</v>
      </c>
      <c r="AP90" s="133">
        <v>8.2799999999999994</v>
      </c>
      <c r="AQ90" s="224">
        <f t="shared" si="28"/>
        <v>1.0321100917431192</v>
      </c>
      <c r="AR90" s="158">
        <v>218</v>
      </c>
      <c r="AS90" s="229">
        <f t="shared" si="29"/>
        <v>0.53444180522565321</v>
      </c>
      <c r="AT90" s="230">
        <v>421</v>
      </c>
      <c r="AU90" s="203">
        <v>15.111111111111111</v>
      </c>
      <c r="AV90" s="204">
        <v>64.444444444444443</v>
      </c>
      <c r="AW90" s="205">
        <v>20.444444444444446</v>
      </c>
      <c r="AX90" s="123">
        <v>4</v>
      </c>
      <c r="AY90" s="281">
        <v>12.087912087912088</v>
      </c>
      <c r="AZ90" s="282">
        <v>38.461538461538467</v>
      </c>
      <c r="BA90" s="283">
        <f t="shared" si="30"/>
        <v>49.450549450549445</v>
      </c>
      <c r="BB90" s="234">
        <v>57.627118644067799</v>
      </c>
      <c r="BC90" s="20">
        <v>2011</v>
      </c>
      <c r="BD90" s="263" t="s">
        <v>556</v>
      </c>
      <c r="BE90" s="262" t="s">
        <v>557</v>
      </c>
      <c r="BF90" s="260" t="s">
        <v>557</v>
      </c>
      <c r="BG90" s="256">
        <v>0</v>
      </c>
      <c r="BH90" s="248" t="s">
        <v>556</v>
      </c>
      <c r="BI90" s="249">
        <v>73.869346733668337</v>
      </c>
      <c r="BJ90" s="309" t="s">
        <v>557</v>
      </c>
      <c r="BK90" s="307" t="s">
        <v>557</v>
      </c>
      <c r="BL90" s="319" t="s">
        <v>1728</v>
      </c>
      <c r="BM90" s="320" t="s">
        <v>557</v>
      </c>
      <c r="BN90" s="321" t="s">
        <v>1868</v>
      </c>
      <c r="BO90" s="145" t="s">
        <v>557</v>
      </c>
      <c r="BP90" s="14" t="s">
        <v>557</v>
      </c>
      <c r="BQ90" s="14" t="s">
        <v>557</v>
      </c>
      <c r="BR90" s="56"/>
    </row>
    <row r="91" spans="1:70" s="56" customFormat="1" ht="13.95" customHeight="1" x14ac:dyDescent="0.3">
      <c r="A91" s="56" t="s">
        <v>459</v>
      </c>
      <c r="B91" s="57" t="s">
        <v>462</v>
      </c>
      <c r="C91" s="55" t="s">
        <v>385</v>
      </c>
      <c r="D91" s="58">
        <v>1</v>
      </c>
      <c r="E91" s="59"/>
      <c r="F91" s="60" t="s">
        <v>456</v>
      </c>
      <c r="G91" s="61" t="s">
        <v>531</v>
      </c>
      <c r="H91" s="61" t="s">
        <v>531</v>
      </c>
      <c r="I91" s="62" t="s">
        <v>531</v>
      </c>
      <c r="J91" s="63" t="s">
        <v>1870</v>
      </c>
      <c r="K91" s="99" t="s">
        <v>1869</v>
      </c>
      <c r="L91" s="130">
        <v>499694213</v>
      </c>
      <c r="M91" s="109" t="s">
        <v>564</v>
      </c>
      <c r="N91" s="12" t="s">
        <v>1564</v>
      </c>
      <c r="O91" s="100" t="s">
        <v>1565</v>
      </c>
      <c r="P91" s="131">
        <v>724180859</v>
      </c>
      <c r="Q91" s="82"/>
      <c r="R91" s="72"/>
      <c r="S91" s="115"/>
      <c r="T91" s="112"/>
      <c r="U91" s="170">
        <v>67700</v>
      </c>
      <c r="V91" s="48">
        <f t="shared" si="17"/>
        <v>97.691197691197686</v>
      </c>
      <c r="W91" s="171">
        <f t="shared" si="18"/>
        <v>55.753827990299328</v>
      </c>
      <c r="X91" s="69">
        <v>275880</v>
      </c>
      <c r="Y91" s="48">
        <f t="shared" si="19"/>
        <v>398.09523809523807</v>
      </c>
      <c r="Z91" s="137">
        <f t="shared" si="20"/>
        <v>227.19890791674712</v>
      </c>
      <c r="AA91" s="69">
        <v>0</v>
      </c>
      <c r="AB91" s="48">
        <f t="shared" si="21"/>
        <v>0</v>
      </c>
      <c r="AC91" s="137">
        <f t="shared" si="22"/>
        <v>0</v>
      </c>
      <c r="AD91" s="70">
        <f t="shared" si="23"/>
        <v>343580</v>
      </c>
      <c r="AE91" s="71">
        <f t="shared" si="24"/>
        <v>495.78643578643579</v>
      </c>
      <c r="AF91" s="193">
        <f t="shared" si="25"/>
        <v>282.95273590704642</v>
      </c>
      <c r="AG91" s="185">
        <f t="shared" si="26"/>
        <v>3.4061663527312383E-3</v>
      </c>
      <c r="AH91" s="180">
        <f t="shared" si="27"/>
        <v>7.2378344217400459E-3</v>
      </c>
      <c r="AI91" s="189">
        <v>693</v>
      </c>
      <c r="AJ91" s="125">
        <v>1214.2664</v>
      </c>
      <c r="AK91" s="149">
        <v>247</v>
      </c>
      <c r="AL91" s="221">
        <v>172</v>
      </c>
      <c r="AM91" s="216">
        <v>85.537190082644628</v>
      </c>
      <c r="AN91" s="213">
        <v>7.3684210526315788</v>
      </c>
      <c r="AO91" s="127">
        <v>20.173999999999999</v>
      </c>
      <c r="AP91" s="133">
        <v>9.4939999999999998</v>
      </c>
      <c r="AQ91" s="224">
        <f t="shared" si="28"/>
        <v>1.1686340640809443</v>
      </c>
      <c r="AR91" s="158">
        <v>593</v>
      </c>
      <c r="AS91" s="229">
        <f t="shared" si="29"/>
        <v>0.70642201834862384</v>
      </c>
      <c r="AT91" s="230">
        <v>981</v>
      </c>
      <c r="AU91" s="203">
        <v>13.997113997113997</v>
      </c>
      <c r="AV91" s="204">
        <v>70.129870129870127</v>
      </c>
      <c r="AW91" s="205">
        <v>15.873015873015872</v>
      </c>
      <c r="AX91" s="123">
        <v>7.7393000000000001</v>
      </c>
      <c r="AY91" s="281">
        <v>8.7947882736156355</v>
      </c>
      <c r="AZ91" s="282">
        <v>29.31596091205212</v>
      </c>
      <c r="BA91" s="283">
        <f t="shared" si="30"/>
        <v>61.889250814332243</v>
      </c>
      <c r="BB91" s="234">
        <v>78.90625</v>
      </c>
      <c r="BC91" s="20">
        <v>2017</v>
      </c>
      <c r="BD91" s="263" t="s">
        <v>556</v>
      </c>
      <c r="BE91" s="261" t="s">
        <v>556</v>
      </c>
      <c r="BF91" s="259" t="s">
        <v>556</v>
      </c>
      <c r="BG91" s="256">
        <v>7.5528700906344408</v>
      </c>
      <c r="BH91" s="248" t="s">
        <v>556</v>
      </c>
      <c r="BI91" s="249">
        <v>56.000000000000007</v>
      </c>
      <c r="BJ91" s="308" t="s">
        <v>556</v>
      </c>
      <c r="BK91" s="307" t="s">
        <v>556</v>
      </c>
      <c r="BL91" s="319" t="s">
        <v>1728</v>
      </c>
      <c r="BM91" s="320" t="s">
        <v>556</v>
      </c>
      <c r="BN91" s="321" t="s">
        <v>1835</v>
      </c>
      <c r="BO91" s="145" t="s">
        <v>556</v>
      </c>
      <c r="BP91" s="14" t="s">
        <v>556</v>
      </c>
      <c r="BQ91" s="14" t="s">
        <v>557</v>
      </c>
      <c r="BR91" s="72"/>
    </row>
    <row r="92" spans="1:70" s="56" customFormat="1" ht="13.95" customHeight="1" x14ac:dyDescent="0.3">
      <c r="A92" s="56" t="s">
        <v>460</v>
      </c>
      <c r="B92" s="77" t="s">
        <v>464</v>
      </c>
      <c r="C92" s="74" t="s">
        <v>400</v>
      </c>
      <c r="D92" s="58">
        <v>6</v>
      </c>
      <c r="E92" s="59" t="s">
        <v>1000</v>
      </c>
      <c r="F92" s="60" t="s">
        <v>456</v>
      </c>
      <c r="G92" s="75" t="s">
        <v>531</v>
      </c>
      <c r="H92" s="75" t="s">
        <v>531</v>
      </c>
      <c r="I92" s="76" t="s">
        <v>531</v>
      </c>
      <c r="J92" s="63" t="s">
        <v>1873</v>
      </c>
      <c r="K92" s="99" t="s">
        <v>1872</v>
      </c>
      <c r="L92" s="130">
        <v>499318111</v>
      </c>
      <c r="M92" s="109" t="s">
        <v>564</v>
      </c>
      <c r="N92" s="12" t="s">
        <v>1568</v>
      </c>
      <c r="O92" s="100" t="s">
        <v>1569</v>
      </c>
      <c r="P92" s="131" t="s">
        <v>1874</v>
      </c>
      <c r="Q92" s="82"/>
      <c r="R92" s="72"/>
      <c r="S92" s="115"/>
      <c r="T92" s="112"/>
      <c r="U92" s="172">
        <v>0</v>
      </c>
      <c r="V92" s="135">
        <f t="shared" si="17"/>
        <v>0</v>
      </c>
      <c r="W92" s="173">
        <f t="shared" si="18"/>
        <v>0</v>
      </c>
      <c r="X92" s="69">
        <f>2698223+94000+101000+100000</f>
        <v>2993223</v>
      </c>
      <c r="Y92" s="48">
        <f t="shared" si="19"/>
        <v>188.46637703060068</v>
      </c>
      <c r="Z92" s="137">
        <f t="shared" si="20"/>
        <v>834.98707317046626</v>
      </c>
      <c r="AA92" s="69">
        <v>5250000</v>
      </c>
      <c r="AB92" s="48">
        <f t="shared" si="21"/>
        <v>330.56290139780884</v>
      </c>
      <c r="AC92" s="137">
        <f t="shared" si="22"/>
        <v>1464.53576433996</v>
      </c>
      <c r="AD92" s="70">
        <f t="shared" si="23"/>
        <v>8243223</v>
      </c>
      <c r="AE92" s="71">
        <f t="shared" si="24"/>
        <v>519.0292784284095</v>
      </c>
      <c r="AF92" s="193">
        <f t="shared" si="25"/>
        <v>2299.5228375104261</v>
      </c>
      <c r="AG92" s="185">
        <f t="shared" si="26"/>
        <v>5.4353668427195223E-3</v>
      </c>
      <c r="AH92" s="180">
        <f t="shared" si="27"/>
        <v>3.5646369729729732E-2</v>
      </c>
      <c r="AI92" s="189">
        <v>15882</v>
      </c>
      <c r="AJ92" s="126">
        <v>3584.7537000000002</v>
      </c>
      <c r="AK92" s="150">
        <v>3813</v>
      </c>
      <c r="AL92" s="221">
        <v>2908</v>
      </c>
      <c r="AM92" s="216">
        <v>46.270806658130603</v>
      </c>
      <c r="AN92" s="213">
        <v>1.446629213483146</v>
      </c>
      <c r="AO92" s="127">
        <v>303.31799999999998</v>
      </c>
      <c r="AP92" s="133">
        <v>46.25</v>
      </c>
      <c r="AQ92" s="224">
        <f t="shared" si="28"/>
        <v>0.9355560791705938</v>
      </c>
      <c r="AR92" s="158">
        <v>16976</v>
      </c>
      <c r="AS92" s="229">
        <f t="shared" si="29"/>
        <v>0.84303837783321833</v>
      </c>
      <c r="AT92" s="230">
        <v>18839</v>
      </c>
      <c r="AU92" s="203">
        <v>14.09772069008941</v>
      </c>
      <c r="AV92" s="204">
        <v>64.462913990681272</v>
      </c>
      <c r="AW92" s="205">
        <v>21.439365319229317</v>
      </c>
      <c r="AX92" s="123">
        <v>6.4181999999999997</v>
      </c>
      <c r="AY92" s="281">
        <v>1.5829941203075533</v>
      </c>
      <c r="AZ92" s="282">
        <v>36.589778380823155</v>
      </c>
      <c r="BA92" s="283">
        <f t="shared" si="30"/>
        <v>61.827227498869298</v>
      </c>
      <c r="BB92" s="234">
        <v>46.592709984152137</v>
      </c>
      <c r="BC92" s="20">
        <v>2001</v>
      </c>
      <c r="BD92" s="263" t="s">
        <v>556</v>
      </c>
      <c r="BE92" s="261" t="s">
        <v>556</v>
      </c>
      <c r="BF92" s="259" t="s">
        <v>556</v>
      </c>
      <c r="BG92" s="256">
        <v>85.0136602918638</v>
      </c>
      <c r="BH92" s="248" t="s">
        <v>556</v>
      </c>
      <c r="BI92" s="249">
        <v>77.520090229804026</v>
      </c>
      <c r="BJ92" s="311" t="s">
        <v>1714</v>
      </c>
      <c r="BK92" s="307" t="s">
        <v>556</v>
      </c>
      <c r="BL92" s="319" t="s">
        <v>1777</v>
      </c>
      <c r="BM92" s="320" t="s">
        <v>556</v>
      </c>
      <c r="BN92" s="321" t="s">
        <v>2490</v>
      </c>
      <c r="BO92" s="145" t="s">
        <v>556</v>
      </c>
      <c r="BP92" s="14" t="s">
        <v>556</v>
      </c>
      <c r="BQ92" s="14" t="s">
        <v>556</v>
      </c>
    </row>
    <row r="93" spans="1:70" s="56" customFormat="1" ht="13.95" customHeight="1" x14ac:dyDescent="0.3">
      <c r="A93" s="56" t="s">
        <v>459</v>
      </c>
      <c r="B93" s="57" t="s">
        <v>462</v>
      </c>
      <c r="C93" s="55" t="s">
        <v>26</v>
      </c>
      <c r="D93" s="58">
        <v>1</v>
      </c>
      <c r="E93" s="59"/>
      <c r="F93" s="60" t="s">
        <v>452</v>
      </c>
      <c r="G93" s="61" t="s">
        <v>11</v>
      </c>
      <c r="H93" s="61" t="s">
        <v>13</v>
      </c>
      <c r="I93" s="62" t="s">
        <v>13</v>
      </c>
      <c r="J93" s="63" t="s">
        <v>1875</v>
      </c>
      <c r="K93" s="99" t="s">
        <v>818</v>
      </c>
      <c r="L93" s="130"/>
      <c r="M93" s="109" t="s">
        <v>537</v>
      </c>
      <c r="N93" s="12" t="s">
        <v>817</v>
      </c>
      <c r="O93" s="100"/>
      <c r="P93" s="131">
        <v>725862068</v>
      </c>
      <c r="Q93" s="67"/>
      <c r="R93" s="68"/>
      <c r="S93" s="99"/>
      <c r="T93" s="65"/>
      <c r="U93" s="170">
        <f>125000+188800</f>
        <v>313800</v>
      </c>
      <c r="V93" s="48">
        <f t="shared" si="17"/>
        <v>1018.8311688311688</v>
      </c>
      <c r="W93" s="171">
        <f t="shared" si="18"/>
        <v>515.4144733902906</v>
      </c>
      <c r="X93" s="69">
        <v>0</v>
      </c>
      <c r="Y93" s="48">
        <f t="shared" si="19"/>
        <v>0</v>
      </c>
      <c r="Z93" s="137">
        <f t="shared" si="20"/>
        <v>0</v>
      </c>
      <c r="AA93" s="69">
        <v>0</v>
      </c>
      <c r="AB93" s="48">
        <f t="shared" si="21"/>
        <v>0</v>
      </c>
      <c r="AC93" s="137">
        <f t="shared" si="22"/>
        <v>0</v>
      </c>
      <c r="AD93" s="70">
        <f t="shared" si="23"/>
        <v>313800</v>
      </c>
      <c r="AE93" s="71">
        <f t="shared" si="24"/>
        <v>1018.8311688311688</v>
      </c>
      <c r="AF93" s="193">
        <f t="shared" si="25"/>
        <v>515.4144733902906</v>
      </c>
      <c r="AG93" s="185">
        <f t="shared" si="26"/>
        <v>1.4302643573381952E-2</v>
      </c>
      <c r="AH93" s="180">
        <f t="shared" si="27"/>
        <v>6.8815789473684205E-2</v>
      </c>
      <c r="AI93" s="189">
        <v>308</v>
      </c>
      <c r="AJ93" s="125">
        <v>608.83040000000005</v>
      </c>
      <c r="AK93" s="149">
        <v>130</v>
      </c>
      <c r="AL93" s="221">
        <v>94</v>
      </c>
      <c r="AM93" s="216">
        <v>97.979797979797979</v>
      </c>
      <c r="AN93" s="213">
        <v>3.8167938931297707</v>
      </c>
      <c r="AO93" s="127">
        <v>4.3879999999999999</v>
      </c>
      <c r="AP93" s="133">
        <v>0.91200000000000003</v>
      </c>
      <c r="AQ93" s="224">
        <f t="shared" si="28"/>
        <v>1.4063926940639269</v>
      </c>
      <c r="AR93" s="158">
        <v>219</v>
      </c>
      <c r="AS93" s="229">
        <f t="shared" si="29"/>
        <v>0.59922178988326846</v>
      </c>
      <c r="AT93" s="230">
        <v>514</v>
      </c>
      <c r="AU93" s="203">
        <v>18.831168831168831</v>
      </c>
      <c r="AV93" s="204">
        <v>64.935064935064929</v>
      </c>
      <c r="AW93" s="205">
        <v>16.233766233766232</v>
      </c>
      <c r="AX93" s="123">
        <v>4.4554</v>
      </c>
      <c r="AY93" s="281">
        <v>9.7402597402597415</v>
      </c>
      <c r="AZ93" s="282">
        <v>38.311688311688314</v>
      </c>
      <c r="BA93" s="283">
        <f t="shared" si="30"/>
        <v>51.94805194805194</v>
      </c>
      <c r="BB93" s="234">
        <v>100</v>
      </c>
      <c r="BC93" s="20">
        <v>1999</v>
      </c>
      <c r="BD93" s="263" t="s">
        <v>556</v>
      </c>
      <c r="BE93" s="262" t="s">
        <v>557</v>
      </c>
      <c r="BF93" s="260" t="s">
        <v>557</v>
      </c>
      <c r="BG93" s="256">
        <v>0</v>
      </c>
      <c r="BH93" s="248" t="s">
        <v>556</v>
      </c>
      <c r="BI93" s="249">
        <v>49.514563106796118</v>
      </c>
      <c r="BJ93" s="309" t="s">
        <v>557</v>
      </c>
      <c r="BK93" s="307" t="s">
        <v>557</v>
      </c>
      <c r="BL93" s="319" t="s">
        <v>1728</v>
      </c>
      <c r="BM93" s="320" t="s">
        <v>556</v>
      </c>
      <c r="BN93" s="321" t="s">
        <v>557</v>
      </c>
      <c r="BO93" s="145" t="s">
        <v>557</v>
      </c>
      <c r="BP93" s="14" t="s">
        <v>556</v>
      </c>
      <c r="BQ93" s="14" t="s">
        <v>557</v>
      </c>
    </row>
    <row r="94" spans="1:70" s="56" customFormat="1" ht="13.95" customHeight="1" x14ac:dyDescent="0.3">
      <c r="A94" s="56" t="s">
        <v>459</v>
      </c>
      <c r="B94" s="57" t="s">
        <v>462</v>
      </c>
      <c r="C94" s="55" t="s">
        <v>401</v>
      </c>
      <c r="D94" s="58">
        <v>2</v>
      </c>
      <c r="E94" s="59" t="s">
        <v>1223</v>
      </c>
      <c r="F94" s="60" t="s">
        <v>456</v>
      </c>
      <c r="G94" s="61" t="s">
        <v>378</v>
      </c>
      <c r="H94" s="61" t="s">
        <v>378</v>
      </c>
      <c r="I94" s="62" t="s">
        <v>378</v>
      </c>
      <c r="J94" s="63" t="s">
        <v>1871</v>
      </c>
      <c r="K94" s="99" t="s">
        <v>1674</v>
      </c>
      <c r="L94" s="130">
        <v>499393141</v>
      </c>
      <c r="M94" s="109" t="s">
        <v>564</v>
      </c>
      <c r="N94" s="12" t="s">
        <v>1570</v>
      </c>
      <c r="O94" s="100"/>
      <c r="P94" s="130">
        <v>499393366</v>
      </c>
      <c r="Q94" s="84"/>
      <c r="S94" s="105"/>
      <c r="T94" s="112"/>
      <c r="U94" s="170">
        <f>475000+338171</f>
        <v>813171</v>
      </c>
      <c r="V94" s="48">
        <f t="shared" si="17"/>
        <v>802.73543928923993</v>
      </c>
      <c r="W94" s="171">
        <f t="shared" si="18"/>
        <v>256.41502674653572</v>
      </c>
      <c r="X94" s="69">
        <v>577542</v>
      </c>
      <c r="Y94" s="48">
        <f t="shared" si="19"/>
        <v>570.13030602171762</v>
      </c>
      <c r="Z94" s="137">
        <f t="shared" si="20"/>
        <v>182.114767222697</v>
      </c>
      <c r="AA94" s="69">
        <v>0</v>
      </c>
      <c r="AB94" s="48">
        <f t="shared" si="21"/>
        <v>0</v>
      </c>
      <c r="AC94" s="137">
        <f t="shared" si="22"/>
        <v>0</v>
      </c>
      <c r="AD94" s="70">
        <f t="shared" si="23"/>
        <v>1390713</v>
      </c>
      <c r="AE94" s="71">
        <f t="shared" si="24"/>
        <v>1372.8657453109577</v>
      </c>
      <c r="AF94" s="193">
        <f t="shared" si="25"/>
        <v>438.52979396923274</v>
      </c>
      <c r="AG94" s="185">
        <f t="shared" si="26"/>
        <v>3.1259002022926502E-2</v>
      </c>
      <c r="AH94" s="180">
        <f t="shared" si="27"/>
        <v>0.19810726495726494</v>
      </c>
      <c r="AI94" s="189">
        <v>1013</v>
      </c>
      <c r="AJ94" s="125">
        <v>3171.3078999999998</v>
      </c>
      <c r="AK94" s="149">
        <v>432</v>
      </c>
      <c r="AL94" s="221">
        <v>218</v>
      </c>
      <c r="AM94" s="216">
        <v>65.361445783132538</v>
      </c>
      <c r="AN94" s="213">
        <v>15.727699530516432</v>
      </c>
      <c r="AO94" s="127">
        <v>8.8979999999999997</v>
      </c>
      <c r="AP94" s="133">
        <v>1.4039999999999999</v>
      </c>
      <c r="AQ94" s="224">
        <f t="shared" si="28"/>
        <v>1.241421568627451</v>
      </c>
      <c r="AR94" s="158">
        <v>816</v>
      </c>
      <c r="AS94" s="229">
        <f t="shared" si="29"/>
        <v>0.41842213961173069</v>
      </c>
      <c r="AT94" s="230">
        <v>2421</v>
      </c>
      <c r="AU94" s="203">
        <v>17.176702862783809</v>
      </c>
      <c r="AV94" s="204">
        <v>67.719644619940766</v>
      </c>
      <c r="AW94" s="205">
        <v>15.103652517275421</v>
      </c>
      <c r="AX94" s="123">
        <v>4.5911</v>
      </c>
      <c r="AY94" s="281">
        <v>5.221932114882506</v>
      </c>
      <c r="AZ94" s="282">
        <v>41.775456919060048</v>
      </c>
      <c r="BA94" s="283">
        <f t="shared" si="30"/>
        <v>53.002610966057446</v>
      </c>
      <c r="BB94" s="234">
        <v>66.31578947368422</v>
      </c>
      <c r="BC94" s="120" t="s">
        <v>1811</v>
      </c>
      <c r="BD94" s="263" t="s">
        <v>556</v>
      </c>
      <c r="BE94" s="261" t="s">
        <v>556</v>
      </c>
      <c r="BF94" s="259" t="s">
        <v>556</v>
      </c>
      <c r="BG94" s="256">
        <v>17.064846416382252</v>
      </c>
      <c r="BH94" s="254" t="s">
        <v>557</v>
      </c>
      <c r="BI94" s="249">
        <v>15.375153751537516</v>
      </c>
      <c r="BJ94" s="308" t="s">
        <v>556</v>
      </c>
      <c r="BK94" s="307" t="s">
        <v>750</v>
      </c>
      <c r="BL94" s="319" t="s">
        <v>1728</v>
      </c>
      <c r="BM94" s="320" t="s">
        <v>556</v>
      </c>
      <c r="BN94" s="321" t="s">
        <v>1814</v>
      </c>
      <c r="BO94" s="145" t="s">
        <v>998</v>
      </c>
      <c r="BP94" s="14" t="s">
        <v>556</v>
      </c>
      <c r="BQ94" s="14" t="s">
        <v>557</v>
      </c>
    </row>
    <row r="95" spans="1:70" s="56" customFormat="1" ht="13.95" customHeight="1" x14ac:dyDescent="0.3">
      <c r="A95" s="56" t="s">
        <v>459</v>
      </c>
      <c r="B95" s="57" t="s">
        <v>462</v>
      </c>
      <c r="C95" s="55" t="s">
        <v>402</v>
      </c>
      <c r="D95" s="58">
        <v>1</v>
      </c>
      <c r="E95" s="59" t="s">
        <v>457</v>
      </c>
      <c r="F95" s="60" t="s">
        <v>456</v>
      </c>
      <c r="G95" s="61" t="s">
        <v>378</v>
      </c>
      <c r="H95" s="61" t="s">
        <v>379</v>
      </c>
      <c r="I95" s="62" t="s">
        <v>379</v>
      </c>
      <c r="J95" s="63" t="s">
        <v>1879</v>
      </c>
      <c r="K95" s="99" t="s">
        <v>1878</v>
      </c>
      <c r="L95" s="130">
        <v>499784061</v>
      </c>
      <c r="M95" s="109" t="s">
        <v>564</v>
      </c>
      <c r="N95" s="12" t="s">
        <v>1571</v>
      </c>
      <c r="O95" s="100" t="s">
        <v>1572</v>
      </c>
      <c r="P95" s="131">
        <v>603558845</v>
      </c>
      <c r="Q95" s="84"/>
      <c r="S95" s="105"/>
      <c r="T95" s="112"/>
      <c r="U95" s="170">
        <f>765000+90000+85000</f>
        <v>940000</v>
      </c>
      <c r="V95" s="48">
        <f t="shared" si="17"/>
        <v>955.28455284552842</v>
      </c>
      <c r="W95" s="171">
        <f t="shared" si="18"/>
        <v>1079.3780348177499</v>
      </c>
      <c r="X95" s="69">
        <v>55000</v>
      </c>
      <c r="Y95" s="48">
        <f t="shared" si="19"/>
        <v>55.894308943089428</v>
      </c>
      <c r="Z95" s="137">
        <f t="shared" si="20"/>
        <v>63.155097781889623</v>
      </c>
      <c r="AA95" s="69">
        <v>150000</v>
      </c>
      <c r="AB95" s="48">
        <f t="shared" si="21"/>
        <v>152.4390243902439</v>
      </c>
      <c r="AC95" s="137">
        <f t="shared" si="22"/>
        <v>172.24117576878987</v>
      </c>
      <c r="AD95" s="70">
        <f t="shared" si="23"/>
        <v>1145000</v>
      </c>
      <c r="AE95" s="71">
        <f t="shared" si="24"/>
        <v>1163.6178861788617</v>
      </c>
      <c r="AF95" s="193">
        <f t="shared" si="25"/>
        <v>1314.7743083684295</v>
      </c>
      <c r="AG95" s="185">
        <f t="shared" si="26"/>
        <v>1.6947898164594435E-2</v>
      </c>
      <c r="AH95" s="180">
        <f t="shared" si="27"/>
        <v>3.5192869217765481E-2</v>
      </c>
      <c r="AI95" s="189">
        <v>984</v>
      </c>
      <c r="AJ95" s="125">
        <v>870.87189999999998</v>
      </c>
      <c r="AK95" s="149">
        <v>452</v>
      </c>
      <c r="AL95" s="221">
        <v>273</v>
      </c>
      <c r="AM95" s="216">
        <v>91.691394658753708</v>
      </c>
      <c r="AN95" s="213">
        <v>9.8591549295774659</v>
      </c>
      <c r="AO95" s="127">
        <v>13.512</v>
      </c>
      <c r="AP95" s="133">
        <v>6.5069999999999997</v>
      </c>
      <c r="AQ95" s="224">
        <f t="shared" si="28"/>
        <v>1.2455696202531645</v>
      </c>
      <c r="AR95" s="158">
        <v>790</v>
      </c>
      <c r="AS95" s="229">
        <f t="shared" si="29"/>
        <v>0.93270142180094784</v>
      </c>
      <c r="AT95" s="230">
        <v>1055</v>
      </c>
      <c r="AU95" s="203">
        <v>16.463414634146343</v>
      </c>
      <c r="AV95" s="204">
        <v>66.666666666666657</v>
      </c>
      <c r="AW95" s="205">
        <v>16.869918699186993</v>
      </c>
      <c r="AX95" s="123">
        <v>3.5874000000000001</v>
      </c>
      <c r="AY95" s="281">
        <v>6.4732142857142865</v>
      </c>
      <c r="AZ95" s="282">
        <v>36.383928571428569</v>
      </c>
      <c r="BA95" s="283">
        <f t="shared" si="30"/>
        <v>57.142857142857139</v>
      </c>
      <c r="BB95" s="234">
        <v>93.838862559241718</v>
      </c>
      <c r="BC95" s="20" t="s">
        <v>557</v>
      </c>
      <c r="BD95" s="263" t="s">
        <v>556</v>
      </c>
      <c r="BE95" s="262" t="s">
        <v>557</v>
      </c>
      <c r="BF95" s="260" t="s">
        <v>557</v>
      </c>
      <c r="BG95" s="256">
        <v>0</v>
      </c>
      <c r="BH95" s="254" t="s">
        <v>557</v>
      </c>
      <c r="BI95" s="249">
        <v>0</v>
      </c>
      <c r="BJ95" s="308" t="s">
        <v>556</v>
      </c>
      <c r="BK95" s="307" t="s">
        <v>750</v>
      </c>
      <c r="BL95" s="319" t="s">
        <v>1728</v>
      </c>
      <c r="BM95" s="320" t="s">
        <v>556</v>
      </c>
      <c r="BN95" s="321" t="s">
        <v>1849</v>
      </c>
      <c r="BO95" s="145" t="s">
        <v>999</v>
      </c>
      <c r="BP95" s="14" t="s">
        <v>556</v>
      </c>
      <c r="BQ95" s="14" t="s">
        <v>557</v>
      </c>
    </row>
    <row r="96" spans="1:70" s="72" customFormat="1" ht="13.95" customHeight="1" x14ac:dyDescent="0.3">
      <c r="A96" s="3" t="s">
        <v>459</v>
      </c>
      <c r="B96" s="57" t="s">
        <v>462</v>
      </c>
      <c r="C96" s="55" t="s">
        <v>244</v>
      </c>
      <c r="D96" s="58">
        <v>1</v>
      </c>
      <c r="E96" s="59"/>
      <c r="F96" s="60" t="s">
        <v>454</v>
      </c>
      <c r="G96" s="61" t="s">
        <v>223</v>
      </c>
      <c r="H96" s="61" t="s">
        <v>223</v>
      </c>
      <c r="I96" s="62" t="s">
        <v>223</v>
      </c>
      <c r="J96" s="117" t="s">
        <v>1883</v>
      </c>
      <c r="K96" s="100" t="s">
        <v>1882</v>
      </c>
      <c r="L96" s="131">
        <v>491523770</v>
      </c>
      <c r="M96" s="109" t="s">
        <v>564</v>
      </c>
      <c r="N96" s="12" t="s">
        <v>1276</v>
      </c>
      <c r="O96" s="100" t="s">
        <v>1277</v>
      </c>
      <c r="P96" s="131" t="s">
        <v>1881</v>
      </c>
      <c r="Q96" s="67"/>
      <c r="R96" s="12"/>
      <c r="S96" s="100"/>
      <c r="T96" s="66"/>
      <c r="U96" s="170">
        <v>504661</v>
      </c>
      <c r="V96" s="48">
        <f t="shared" si="17"/>
        <v>791.00470219435738</v>
      </c>
      <c r="W96" s="171">
        <f t="shared" si="18"/>
        <v>387.7944501380515</v>
      </c>
      <c r="X96" s="69">
        <v>4000</v>
      </c>
      <c r="Y96" s="48">
        <f t="shared" si="19"/>
        <v>6.2695924764890281</v>
      </c>
      <c r="Z96" s="137">
        <f t="shared" si="20"/>
        <v>3.0737025459708716</v>
      </c>
      <c r="AA96" s="69">
        <v>0</v>
      </c>
      <c r="AB96" s="48">
        <f t="shared" si="21"/>
        <v>0</v>
      </c>
      <c r="AC96" s="137">
        <f t="shared" si="22"/>
        <v>0</v>
      </c>
      <c r="AD96" s="70">
        <f t="shared" si="23"/>
        <v>508661</v>
      </c>
      <c r="AE96" s="71">
        <f t="shared" si="24"/>
        <v>797.27429467084642</v>
      </c>
      <c r="AF96" s="193">
        <f t="shared" si="25"/>
        <v>390.86815268402239</v>
      </c>
      <c r="AG96" s="185">
        <f t="shared" si="26"/>
        <v>3.0085822440409299E-3</v>
      </c>
      <c r="AH96" s="180">
        <f t="shared" si="27"/>
        <v>4.2367233050141593E-3</v>
      </c>
      <c r="AI96" s="189">
        <v>638</v>
      </c>
      <c r="AJ96" s="125">
        <v>1301.3621000000001</v>
      </c>
      <c r="AK96" s="149">
        <v>218</v>
      </c>
      <c r="AL96" s="221">
        <v>171</v>
      </c>
      <c r="AM96" s="216">
        <v>84.444444444444443</v>
      </c>
      <c r="AN96" s="213">
        <v>2.9411764705882351</v>
      </c>
      <c r="AO96" s="127">
        <v>33.814</v>
      </c>
      <c r="AP96" s="133">
        <v>24.012</v>
      </c>
      <c r="AQ96" s="224">
        <f t="shared" si="28"/>
        <v>1.1312056737588652</v>
      </c>
      <c r="AR96" s="158">
        <v>564</v>
      </c>
      <c r="AS96" s="229">
        <f t="shared" si="29"/>
        <v>0.48739495798319327</v>
      </c>
      <c r="AT96" s="230">
        <v>1309</v>
      </c>
      <c r="AU96" s="203">
        <v>14.106583072100312</v>
      </c>
      <c r="AV96" s="204">
        <v>68.181818181818187</v>
      </c>
      <c r="AW96" s="205">
        <v>17.711598746081506</v>
      </c>
      <c r="AX96" s="123">
        <v>5</v>
      </c>
      <c r="AY96" s="281">
        <v>4.3636363636363642</v>
      </c>
      <c r="AZ96" s="282">
        <v>45.090909090909093</v>
      </c>
      <c r="BA96" s="283">
        <f t="shared" si="30"/>
        <v>50.545454545454547</v>
      </c>
      <c r="BB96" s="234">
        <v>83.969465648854964</v>
      </c>
      <c r="BC96" s="19">
        <v>2008</v>
      </c>
      <c r="BD96" s="264" t="s">
        <v>557</v>
      </c>
      <c r="BE96" s="261" t="s">
        <v>556</v>
      </c>
      <c r="BF96" s="260" t="s">
        <v>557</v>
      </c>
      <c r="BG96" s="257" t="s">
        <v>1686</v>
      </c>
      <c r="BH96" s="248" t="s">
        <v>556</v>
      </c>
      <c r="BI96" s="249">
        <v>30.181818181818183</v>
      </c>
      <c r="BJ96" s="308" t="s">
        <v>556</v>
      </c>
      <c r="BK96" s="307" t="s">
        <v>557</v>
      </c>
      <c r="BL96" s="319" t="s">
        <v>1728</v>
      </c>
      <c r="BM96" s="320" t="s">
        <v>556</v>
      </c>
      <c r="BN96" s="321" t="s">
        <v>1767</v>
      </c>
      <c r="BO96" s="21" t="s">
        <v>557</v>
      </c>
      <c r="BP96" s="10" t="s">
        <v>557</v>
      </c>
      <c r="BQ96" s="10" t="s">
        <v>557</v>
      </c>
      <c r="BR96" s="56"/>
    </row>
    <row r="97" spans="1:70" s="56" customFormat="1" ht="13.95" customHeight="1" x14ac:dyDescent="0.3">
      <c r="A97" s="56" t="s">
        <v>459</v>
      </c>
      <c r="B97" s="57" t="s">
        <v>462</v>
      </c>
      <c r="C97" s="55" t="s">
        <v>245</v>
      </c>
      <c r="D97" s="58">
        <v>4</v>
      </c>
      <c r="E97" s="59" t="s">
        <v>645</v>
      </c>
      <c r="F97" s="60" t="s">
        <v>454</v>
      </c>
      <c r="G97" s="61" t="s">
        <v>242</v>
      </c>
      <c r="H97" s="61" t="s">
        <v>242</v>
      </c>
      <c r="I97" s="62" t="s">
        <v>242</v>
      </c>
      <c r="J97" s="63" t="s">
        <v>1884</v>
      </c>
      <c r="K97" s="99" t="s">
        <v>1279</v>
      </c>
      <c r="L97" s="130">
        <v>491813270</v>
      </c>
      <c r="M97" s="109" t="s">
        <v>564</v>
      </c>
      <c r="N97" s="12" t="s">
        <v>1278</v>
      </c>
      <c r="O97" s="100"/>
      <c r="P97" s="131"/>
      <c r="Q97" s="67"/>
      <c r="R97" s="68"/>
      <c r="S97" s="99"/>
      <c r="T97" s="65"/>
      <c r="U97" s="170">
        <f>67000+176700</f>
        <v>243700</v>
      </c>
      <c r="V97" s="48">
        <f t="shared" si="17"/>
        <v>570.72599531615924</v>
      </c>
      <c r="W97" s="171">
        <f t="shared" si="18"/>
        <v>351.81688082935813</v>
      </c>
      <c r="X97" s="69">
        <v>103052</v>
      </c>
      <c r="Y97" s="48">
        <f t="shared" si="19"/>
        <v>241.33957845433255</v>
      </c>
      <c r="Z97" s="137">
        <f t="shared" si="20"/>
        <v>148.77075586059505</v>
      </c>
      <c r="AA97" s="69">
        <v>0</v>
      </c>
      <c r="AB97" s="48">
        <f t="shared" si="21"/>
        <v>0</v>
      </c>
      <c r="AC97" s="137">
        <f t="shared" si="22"/>
        <v>0</v>
      </c>
      <c r="AD97" s="70">
        <f t="shared" si="23"/>
        <v>346752</v>
      </c>
      <c r="AE97" s="71">
        <f t="shared" si="24"/>
        <v>812.06557377049182</v>
      </c>
      <c r="AF97" s="193">
        <f t="shared" si="25"/>
        <v>500.58763668995323</v>
      </c>
      <c r="AG97" s="185">
        <f t="shared" si="26"/>
        <v>1.2166736842105263E-2</v>
      </c>
      <c r="AH97" s="180">
        <f t="shared" si="27"/>
        <v>4.7927021423635113E-2</v>
      </c>
      <c r="AI97" s="189">
        <v>427</v>
      </c>
      <c r="AJ97" s="125">
        <v>692.68989999999997</v>
      </c>
      <c r="AK97" s="149">
        <v>151</v>
      </c>
      <c r="AL97" s="221">
        <v>101</v>
      </c>
      <c r="AM97" s="216">
        <v>83.703703703703695</v>
      </c>
      <c r="AN97" s="213">
        <v>9.0425531914893629</v>
      </c>
      <c r="AO97" s="127">
        <v>5.7</v>
      </c>
      <c r="AP97" s="133">
        <v>1.4470000000000001</v>
      </c>
      <c r="AQ97" s="224">
        <f t="shared" si="28"/>
        <v>1.0810126582278481</v>
      </c>
      <c r="AR97" s="158">
        <v>395</v>
      </c>
      <c r="AS97" s="229">
        <f t="shared" si="29"/>
        <v>0.45864661654135336</v>
      </c>
      <c r="AT97" s="230">
        <v>931</v>
      </c>
      <c r="AU97" s="203">
        <v>19.437939110070257</v>
      </c>
      <c r="AV97" s="204">
        <v>63.93442622950819</v>
      </c>
      <c r="AW97" s="205">
        <v>16.627634660421545</v>
      </c>
      <c r="AX97" s="123">
        <v>5.6604000000000001</v>
      </c>
      <c r="AY97" s="281">
        <v>5.298013245033113</v>
      </c>
      <c r="AZ97" s="282">
        <v>42.384105960264904</v>
      </c>
      <c r="BA97" s="283">
        <f t="shared" si="30"/>
        <v>52.317880794701978</v>
      </c>
      <c r="BB97" s="234">
        <v>47.321428571428569</v>
      </c>
      <c r="BC97" s="20">
        <v>2001</v>
      </c>
      <c r="BD97" s="263" t="s">
        <v>556</v>
      </c>
      <c r="BE97" s="261" t="s">
        <v>556</v>
      </c>
      <c r="BF97" s="260" t="s">
        <v>557</v>
      </c>
      <c r="BG97" s="256">
        <v>16.40625</v>
      </c>
      <c r="BH97" s="248" t="s">
        <v>556</v>
      </c>
      <c r="BI97" s="249">
        <v>33.333333333333329</v>
      </c>
      <c r="BJ97" s="308" t="s">
        <v>556</v>
      </c>
      <c r="BK97" s="307" t="s">
        <v>557</v>
      </c>
      <c r="BL97" s="319" t="s">
        <v>1728</v>
      </c>
      <c r="BM97" s="320" t="s">
        <v>556</v>
      </c>
      <c r="BN97" s="321" t="s">
        <v>1767</v>
      </c>
      <c r="BO97" s="145" t="s">
        <v>556</v>
      </c>
      <c r="BP97" s="14" t="s">
        <v>556</v>
      </c>
      <c r="BQ97" s="14" t="s">
        <v>557</v>
      </c>
    </row>
    <row r="98" spans="1:70" s="56" customFormat="1" ht="13.95" customHeight="1" x14ac:dyDescent="0.3">
      <c r="A98" s="56" t="s">
        <v>459</v>
      </c>
      <c r="B98" s="57" t="s">
        <v>462</v>
      </c>
      <c r="C98" s="55" t="s">
        <v>246</v>
      </c>
      <c r="D98" s="58">
        <v>2</v>
      </c>
      <c r="E98" s="59" t="s">
        <v>646</v>
      </c>
      <c r="F98" s="60" t="s">
        <v>454</v>
      </c>
      <c r="G98" s="61" t="s">
        <v>223</v>
      </c>
      <c r="H98" s="61" t="s">
        <v>223</v>
      </c>
      <c r="I98" s="62" t="s">
        <v>223</v>
      </c>
      <c r="J98" s="63" t="s">
        <v>1889</v>
      </c>
      <c r="K98" s="99" t="s">
        <v>1281</v>
      </c>
      <c r="L98" s="130">
        <v>491523772</v>
      </c>
      <c r="M98" s="109" t="s">
        <v>537</v>
      </c>
      <c r="N98" s="12" t="s">
        <v>1280</v>
      </c>
      <c r="O98" s="100"/>
      <c r="P98" s="131">
        <v>774927960</v>
      </c>
      <c r="Q98" s="67"/>
      <c r="R98" s="68"/>
      <c r="S98" s="99"/>
      <c r="T98" s="65"/>
      <c r="U98" s="170">
        <v>0</v>
      </c>
      <c r="V98" s="48">
        <f t="shared" si="17"/>
        <v>0</v>
      </c>
      <c r="W98" s="171">
        <f t="shared" si="18"/>
        <v>0</v>
      </c>
      <c r="X98" s="69">
        <v>88000</v>
      </c>
      <c r="Y98" s="48">
        <f t="shared" si="19"/>
        <v>178.49898580121703</v>
      </c>
      <c r="Z98" s="137">
        <f t="shared" si="20"/>
        <v>44.160767273258294</v>
      </c>
      <c r="AA98" s="69">
        <v>0</v>
      </c>
      <c r="AB98" s="48">
        <f t="shared" si="21"/>
        <v>0</v>
      </c>
      <c r="AC98" s="137">
        <f t="shared" si="22"/>
        <v>0</v>
      </c>
      <c r="AD98" s="70">
        <f t="shared" si="23"/>
        <v>88000</v>
      </c>
      <c r="AE98" s="71">
        <f t="shared" si="24"/>
        <v>178.49898580121703</v>
      </c>
      <c r="AF98" s="193">
        <f t="shared" si="25"/>
        <v>44.160767273258294</v>
      </c>
      <c r="AG98" s="185">
        <f t="shared" si="26"/>
        <v>1.8217575820308458E-3</v>
      </c>
      <c r="AH98" s="180">
        <f t="shared" si="27"/>
        <v>6.2745098039215684E-3</v>
      </c>
      <c r="AI98" s="189">
        <v>493</v>
      </c>
      <c r="AJ98" s="125">
        <v>1992.7190000000001</v>
      </c>
      <c r="AK98" s="149">
        <v>288</v>
      </c>
      <c r="AL98" s="221">
        <v>140</v>
      </c>
      <c r="AM98" s="216">
        <v>83.97790055248619</v>
      </c>
      <c r="AN98" s="213">
        <v>16.064257028112451</v>
      </c>
      <c r="AO98" s="127">
        <v>9.6609999999999996</v>
      </c>
      <c r="AP98" s="133">
        <v>2.8050000000000002</v>
      </c>
      <c r="AQ98" s="224">
        <f t="shared" si="28"/>
        <v>1.0556745182012848</v>
      </c>
      <c r="AR98" s="158">
        <v>467</v>
      </c>
      <c r="AS98" s="229">
        <f t="shared" si="29"/>
        <v>0.28011363636363634</v>
      </c>
      <c r="AT98" s="230">
        <v>1760</v>
      </c>
      <c r="AU98" s="203">
        <v>17.241379310344829</v>
      </c>
      <c r="AV98" s="204">
        <v>66.531440162271807</v>
      </c>
      <c r="AW98" s="205">
        <v>16.227180527383368</v>
      </c>
      <c r="AX98" s="123">
        <v>7.6687000000000003</v>
      </c>
      <c r="AY98" s="281">
        <v>6.7010309278350517</v>
      </c>
      <c r="AZ98" s="282">
        <v>39.690721649484537</v>
      </c>
      <c r="BA98" s="283">
        <f t="shared" si="30"/>
        <v>53.608247422680414</v>
      </c>
      <c r="BB98" s="234">
        <v>78.260869565217391</v>
      </c>
      <c r="BC98" s="20">
        <v>2011</v>
      </c>
      <c r="BD98" s="263" t="s">
        <v>556</v>
      </c>
      <c r="BE98" s="262" t="s">
        <v>557</v>
      </c>
      <c r="BF98" s="260" t="s">
        <v>557</v>
      </c>
      <c r="BG98" s="256">
        <v>0</v>
      </c>
      <c r="BH98" s="254" t="s">
        <v>557</v>
      </c>
      <c r="BI98" s="249">
        <v>0</v>
      </c>
      <c r="BJ98" s="308" t="s">
        <v>556</v>
      </c>
      <c r="BK98" s="307" t="s">
        <v>557</v>
      </c>
      <c r="BL98" s="319" t="s">
        <v>1728</v>
      </c>
      <c r="BM98" s="320" t="s">
        <v>556</v>
      </c>
      <c r="BN98" s="321" t="s">
        <v>1789</v>
      </c>
      <c r="BO98" s="145" t="s">
        <v>998</v>
      </c>
      <c r="BP98" s="14" t="s">
        <v>556</v>
      </c>
      <c r="BQ98" s="14" t="s">
        <v>557</v>
      </c>
      <c r="BR98" s="72"/>
    </row>
    <row r="99" spans="1:70" s="72" customFormat="1" ht="13.95" customHeight="1" x14ac:dyDescent="0.3">
      <c r="A99" s="56" t="s">
        <v>459</v>
      </c>
      <c r="B99" s="57" t="s">
        <v>462</v>
      </c>
      <c r="C99" s="55" t="s">
        <v>27</v>
      </c>
      <c r="D99" s="58">
        <v>2</v>
      </c>
      <c r="E99" s="59" t="s">
        <v>470</v>
      </c>
      <c r="F99" s="60" t="s">
        <v>452</v>
      </c>
      <c r="G99" s="61" t="s">
        <v>7</v>
      </c>
      <c r="H99" s="61" t="s">
        <v>7</v>
      </c>
      <c r="I99" s="62" t="s">
        <v>7</v>
      </c>
      <c r="J99" s="63" t="s">
        <v>1886</v>
      </c>
      <c r="K99" s="99" t="s">
        <v>819</v>
      </c>
      <c r="L99" s="130">
        <v>495483416</v>
      </c>
      <c r="M99" s="109" t="s">
        <v>564</v>
      </c>
      <c r="N99" s="12" t="s">
        <v>820</v>
      </c>
      <c r="O99" s="100" t="s">
        <v>1885</v>
      </c>
      <c r="P99" s="131">
        <v>724186813</v>
      </c>
      <c r="Q99" s="67"/>
      <c r="R99" s="68"/>
      <c r="S99" s="99"/>
      <c r="T99" s="65"/>
      <c r="U99" s="170">
        <v>600000</v>
      </c>
      <c r="V99" s="48">
        <f t="shared" si="17"/>
        <v>806.45161290322585</v>
      </c>
      <c r="W99" s="171">
        <f t="shared" si="18"/>
        <v>539.39614601453673</v>
      </c>
      <c r="X99" s="69">
        <v>150651</v>
      </c>
      <c r="Y99" s="48">
        <f t="shared" si="19"/>
        <v>202.48790322580646</v>
      </c>
      <c r="Z99" s="137">
        <f t="shared" si="20"/>
        <v>135.43428132205995</v>
      </c>
      <c r="AA99" s="69">
        <v>0</v>
      </c>
      <c r="AB99" s="48">
        <f t="shared" si="21"/>
        <v>0</v>
      </c>
      <c r="AC99" s="137">
        <f t="shared" si="22"/>
        <v>0</v>
      </c>
      <c r="AD99" s="70">
        <f t="shared" si="23"/>
        <v>750651</v>
      </c>
      <c r="AE99" s="71">
        <f t="shared" si="24"/>
        <v>1008.9395161290323</v>
      </c>
      <c r="AF99" s="193">
        <f t="shared" si="25"/>
        <v>674.8304273365967</v>
      </c>
      <c r="AG99" s="185">
        <f t="shared" si="26"/>
        <v>1.653962763027432E-2</v>
      </c>
      <c r="AH99" s="180">
        <f t="shared" si="27"/>
        <v>9.8381520314547846E-2</v>
      </c>
      <c r="AI99" s="189">
        <v>744</v>
      </c>
      <c r="AJ99" s="125">
        <v>1112.355</v>
      </c>
      <c r="AK99" s="149">
        <v>324</v>
      </c>
      <c r="AL99" s="221">
        <v>219</v>
      </c>
      <c r="AM99" s="216">
        <v>85.770750988142296</v>
      </c>
      <c r="AN99" s="213">
        <v>15.317919075144509</v>
      </c>
      <c r="AO99" s="127">
        <v>9.077</v>
      </c>
      <c r="AP99" s="133">
        <v>1.526</v>
      </c>
      <c r="AQ99" s="224">
        <f t="shared" si="28"/>
        <v>1.0553191489361702</v>
      </c>
      <c r="AR99" s="158">
        <v>705</v>
      </c>
      <c r="AS99" s="229">
        <f t="shared" si="29"/>
        <v>0.69016697588126164</v>
      </c>
      <c r="AT99" s="230">
        <v>1078</v>
      </c>
      <c r="AU99" s="203">
        <v>12.365591397849462</v>
      </c>
      <c r="AV99" s="204">
        <v>70.967741935483872</v>
      </c>
      <c r="AW99" s="205">
        <v>16.666666666666664</v>
      </c>
      <c r="AX99" s="123">
        <v>9.5056999999999992</v>
      </c>
      <c r="AY99" s="281">
        <v>8.4805653710247348</v>
      </c>
      <c r="AZ99" s="282">
        <v>29.681978798586574</v>
      </c>
      <c r="BA99" s="283">
        <f t="shared" si="30"/>
        <v>61.837455830388691</v>
      </c>
      <c r="BB99" s="234">
        <v>78.400000000000006</v>
      </c>
      <c r="BC99" s="20">
        <v>2015</v>
      </c>
      <c r="BD99" s="263" t="s">
        <v>556</v>
      </c>
      <c r="BE99" s="261" t="s">
        <v>556</v>
      </c>
      <c r="BF99" s="259" t="s">
        <v>556</v>
      </c>
      <c r="BG99" s="256">
        <v>43.47202295552367</v>
      </c>
      <c r="BH99" s="248" t="s">
        <v>556</v>
      </c>
      <c r="BI99" s="249">
        <v>35.464231354642308</v>
      </c>
      <c r="BJ99" s="308" t="s">
        <v>556</v>
      </c>
      <c r="BK99" s="307" t="s">
        <v>556</v>
      </c>
      <c r="BL99" s="319" t="s">
        <v>1728</v>
      </c>
      <c r="BM99" s="320" t="s">
        <v>556</v>
      </c>
      <c r="BN99" s="321" t="s">
        <v>1888</v>
      </c>
      <c r="BO99" s="145" t="s">
        <v>556</v>
      </c>
      <c r="BP99" s="14" t="s">
        <v>556</v>
      </c>
      <c r="BQ99" s="14" t="s">
        <v>557</v>
      </c>
      <c r="BR99" s="56"/>
    </row>
    <row r="100" spans="1:70" s="56" customFormat="1" ht="13.95" customHeight="1" x14ac:dyDescent="0.3">
      <c r="A100" s="56" t="s">
        <v>459</v>
      </c>
      <c r="B100" s="57" t="s">
        <v>462</v>
      </c>
      <c r="C100" s="55" t="s">
        <v>28</v>
      </c>
      <c r="D100" s="58">
        <v>1</v>
      </c>
      <c r="E100" s="59"/>
      <c r="F100" s="60" t="s">
        <v>452</v>
      </c>
      <c r="G100" s="61" t="s">
        <v>11</v>
      </c>
      <c r="H100" s="61" t="s">
        <v>11</v>
      </c>
      <c r="I100" s="62" t="s">
        <v>11</v>
      </c>
      <c r="J100" s="63" t="s">
        <v>1894</v>
      </c>
      <c r="K100" s="99" t="s">
        <v>1893</v>
      </c>
      <c r="L100" s="130">
        <v>495447339</v>
      </c>
      <c r="M100" s="109" t="s">
        <v>537</v>
      </c>
      <c r="N100" s="12" t="s">
        <v>822</v>
      </c>
      <c r="O100" s="100" t="s">
        <v>821</v>
      </c>
      <c r="P100" s="131">
        <v>777209129</v>
      </c>
      <c r="Q100" s="67"/>
      <c r="R100" s="68"/>
      <c r="S100" s="99"/>
      <c r="T100" s="65"/>
      <c r="U100" s="170">
        <f>300000+368000</f>
        <v>668000</v>
      </c>
      <c r="V100" s="48">
        <f t="shared" si="17"/>
        <v>3929.4117647058824</v>
      </c>
      <c r="W100" s="171">
        <f t="shared" si="18"/>
        <v>2495.6606140670078</v>
      </c>
      <c r="X100" s="69">
        <v>256200</v>
      </c>
      <c r="Y100" s="48">
        <f t="shared" si="19"/>
        <v>1507.0588235294117</v>
      </c>
      <c r="Z100" s="137">
        <f t="shared" si="20"/>
        <v>957.16803791013081</v>
      </c>
      <c r="AA100" s="69">
        <v>0</v>
      </c>
      <c r="AB100" s="48">
        <f t="shared" si="21"/>
        <v>0</v>
      </c>
      <c r="AC100" s="137">
        <f t="shared" si="22"/>
        <v>0</v>
      </c>
      <c r="AD100" s="70">
        <f t="shared" si="23"/>
        <v>924200</v>
      </c>
      <c r="AE100" s="71">
        <f t="shared" si="24"/>
        <v>5436.4705882352937</v>
      </c>
      <c r="AF100" s="193">
        <f t="shared" si="25"/>
        <v>3452.8286519771386</v>
      </c>
      <c r="AG100" s="185">
        <f t="shared" si="26"/>
        <v>7.192217898832684E-2</v>
      </c>
      <c r="AH100" s="180">
        <f t="shared" si="27"/>
        <v>0.36601980198019807</v>
      </c>
      <c r="AI100" s="189">
        <v>170</v>
      </c>
      <c r="AJ100" s="125">
        <v>267.66460000000001</v>
      </c>
      <c r="AK100" s="149">
        <v>68</v>
      </c>
      <c r="AL100" s="221">
        <v>52</v>
      </c>
      <c r="AM100" s="216">
        <v>95.081967213114751</v>
      </c>
      <c r="AN100" s="213">
        <v>3.79746835443038</v>
      </c>
      <c r="AO100" s="127">
        <v>2.57</v>
      </c>
      <c r="AP100" s="133">
        <v>0.505</v>
      </c>
      <c r="AQ100" s="224">
        <f t="shared" si="28"/>
        <v>0.97701149425287359</v>
      </c>
      <c r="AR100" s="158">
        <v>174</v>
      </c>
      <c r="AS100" s="229">
        <f t="shared" si="29"/>
        <v>0.6692913385826772</v>
      </c>
      <c r="AT100" s="230">
        <v>254</v>
      </c>
      <c r="AU100" s="203">
        <v>14.97005988023952</v>
      </c>
      <c r="AV100" s="204">
        <v>65.868263473053901</v>
      </c>
      <c r="AW100" s="205">
        <v>19.161676646706589</v>
      </c>
      <c r="AX100" s="123">
        <v>5.2173999999999996</v>
      </c>
      <c r="AY100" s="281">
        <v>14.492753623188406</v>
      </c>
      <c r="AZ100" s="282">
        <v>34.782608695652172</v>
      </c>
      <c r="BA100" s="283">
        <f t="shared" si="30"/>
        <v>50.724637681159422</v>
      </c>
      <c r="BB100" s="234">
        <v>82.35294117647058</v>
      </c>
      <c r="BC100" s="20">
        <v>2008</v>
      </c>
      <c r="BD100" s="263" t="s">
        <v>556</v>
      </c>
      <c r="BE100" s="261" t="s">
        <v>556</v>
      </c>
      <c r="BF100" s="259" t="s">
        <v>556</v>
      </c>
      <c r="BG100" s="256">
        <v>42.771084337349393</v>
      </c>
      <c r="BH100" s="248" t="s">
        <v>556</v>
      </c>
      <c r="BI100" s="249">
        <v>74.842767295597483</v>
      </c>
      <c r="BJ100" s="309" t="s">
        <v>557</v>
      </c>
      <c r="BK100" s="307" t="s">
        <v>557</v>
      </c>
      <c r="BL100" s="319" t="s">
        <v>1728</v>
      </c>
      <c r="BM100" s="320" t="s">
        <v>556</v>
      </c>
      <c r="BN100" s="321" t="s">
        <v>1838</v>
      </c>
      <c r="BO100" s="145" t="s">
        <v>557</v>
      </c>
      <c r="BP100" s="14" t="s">
        <v>556</v>
      </c>
      <c r="BQ100" s="14" t="s">
        <v>556</v>
      </c>
      <c r="BR100" s="72"/>
    </row>
    <row r="101" spans="1:70" s="56" customFormat="1" ht="13.95" customHeight="1" x14ac:dyDescent="0.3">
      <c r="A101" s="56" t="s">
        <v>459</v>
      </c>
      <c r="B101" s="57" t="s">
        <v>462</v>
      </c>
      <c r="C101" s="55" t="s">
        <v>138</v>
      </c>
      <c r="D101" s="58">
        <v>4</v>
      </c>
      <c r="E101" s="59" t="s">
        <v>513</v>
      </c>
      <c r="F101" s="60" t="s">
        <v>453</v>
      </c>
      <c r="G101" s="61" t="s">
        <v>113</v>
      </c>
      <c r="H101" s="61" t="s">
        <v>113</v>
      </c>
      <c r="I101" s="62" t="s">
        <v>113</v>
      </c>
      <c r="J101" s="63" t="s">
        <v>1895</v>
      </c>
      <c r="K101" s="99" t="s">
        <v>1050</v>
      </c>
      <c r="L101" s="130">
        <v>493532788</v>
      </c>
      <c r="M101" s="109" t="s">
        <v>564</v>
      </c>
      <c r="N101" s="12" t="s">
        <v>1049</v>
      </c>
      <c r="O101" s="100"/>
      <c r="P101" s="131">
        <v>724180942</v>
      </c>
      <c r="Q101" s="67"/>
      <c r="R101" s="68"/>
      <c r="S101" s="99"/>
      <c r="T101" s="65"/>
      <c r="U101" s="170">
        <v>571019</v>
      </c>
      <c r="V101" s="48">
        <f t="shared" si="17"/>
        <v>967.82881355932204</v>
      </c>
      <c r="W101" s="171">
        <f t="shared" si="18"/>
        <v>548.49325942464486</v>
      </c>
      <c r="X101" s="69">
        <v>0</v>
      </c>
      <c r="Y101" s="48">
        <f t="shared" si="19"/>
        <v>0</v>
      </c>
      <c r="Z101" s="137">
        <f t="shared" si="20"/>
        <v>0</v>
      </c>
      <c r="AA101" s="69">
        <v>0</v>
      </c>
      <c r="AB101" s="48">
        <f t="shared" si="21"/>
        <v>0</v>
      </c>
      <c r="AC101" s="137">
        <f t="shared" si="22"/>
        <v>0</v>
      </c>
      <c r="AD101" s="70">
        <f t="shared" si="23"/>
        <v>571019</v>
      </c>
      <c r="AE101" s="71">
        <f t="shared" si="24"/>
        <v>967.82881355932204</v>
      </c>
      <c r="AF101" s="193">
        <f t="shared" si="25"/>
        <v>548.49325942464486</v>
      </c>
      <c r="AG101" s="185">
        <f t="shared" si="26"/>
        <v>1.9203598453001514E-2</v>
      </c>
      <c r="AH101" s="180">
        <f t="shared" si="27"/>
        <v>0.15622954856361149</v>
      </c>
      <c r="AI101" s="189">
        <v>590</v>
      </c>
      <c r="AJ101" s="125">
        <v>1041.0684000000001</v>
      </c>
      <c r="AK101" s="149">
        <v>403</v>
      </c>
      <c r="AL101" s="221">
        <v>196</v>
      </c>
      <c r="AM101" s="216">
        <v>95.693779904306226</v>
      </c>
      <c r="AN101" s="213">
        <v>11.206896551724139</v>
      </c>
      <c r="AO101" s="127">
        <v>5.9470000000000001</v>
      </c>
      <c r="AP101" s="133">
        <v>0.73099999999999998</v>
      </c>
      <c r="AQ101" s="224">
        <f t="shared" si="28"/>
        <v>1.1591355599214146</v>
      </c>
      <c r="AR101" s="158">
        <v>509</v>
      </c>
      <c r="AS101" s="229">
        <f t="shared" si="29"/>
        <v>0.76129032258064511</v>
      </c>
      <c r="AT101" s="230">
        <v>775</v>
      </c>
      <c r="AU101" s="203">
        <v>14.237288135593221</v>
      </c>
      <c r="AV101" s="204">
        <v>68.81355932203391</v>
      </c>
      <c r="AW101" s="205">
        <v>16.949152542372879</v>
      </c>
      <c r="AX101" s="123">
        <v>3.4062999999999999</v>
      </c>
      <c r="AY101" s="281">
        <v>2.197802197802198</v>
      </c>
      <c r="AZ101" s="282">
        <v>40.659340659340657</v>
      </c>
      <c r="BA101" s="283">
        <f t="shared" si="30"/>
        <v>57.142857142857139</v>
      </c>
      <c r="BB101" s="234">
        <v>73.188405797101453</v>
      </c>
      <c r="BC101" s="20">
        <v>2016</v>
      </c>
      <c r="BD101" s="263" t="s">
        <v>556</v>
      </c>
      <c r="BE101" s="261" t="s">
        <v>556</v>
      </c>
      <c r="BF101" s="260" t="s">
        <v>557</v>
      </c>
      <c r="BG101" s="256">
        <v>24.090121317157713</v>
      </c>
      <c r="BH101" s="248" t="s">
        <v>556</v>
      </c>
      <c r="BI101" s="249">
        <v>45.67219152854512</v>
      </c>
      <c r="BJ101" s="309" t="s">
        <v>557</v>
      </c>
      <c r="BK101" s="307" t="s">
        <v>557</v>
      </c>
      <c r="BL101" s="319" t="s">
        <v>1728</v>
      </c>
      <c r="BM101" s="320" t="s">
        <v>556</v>
      </c>
      <c r="BN101" s="321" t="s">
        <v>1767</v>
      </c>
      <c r="BO101" s="145" t="s">
        <v>557</v>
      </c>
      <c r="BP101" s="14">
        <v>2</v>
      </c>
      <c r="BQ101" s="14" t="s">
        <v>557</v>
      </c>
    </row>
    <row r="102" spans="1:70" s="56" customFormat="1" ht="13.95" customHeight="1" x14ac:dyDescent="0.3">
      <c r="A102" s="56" t="s">
        <v>459</v>
      </c>
      <c r="B102" s="57" t="s">
        <v>462</v>
      </c>
      <c r="C102" s="55" t="s">
        <v>29</v>
      </c>
      <c r="D102" s="58">
        <v>1</v>
      </c>
      <c r="E102" s="59" t="s">
        <v>457</v>
      </c>
      <c r="F102" s="60" t="s">
        <v>452</v>
      </c>
      <c r="G102" s="61" t="s">
        <v>11</v>
      </c>
      <c r="H102" s="61" t="s">
        <v>13</v>
      </c>
      <c r="I102" s="62" t="s">
        <v>13</v>
      </c>
      <c r="J102" s="63" t="s">
        <v>1876</v>
      </c>
      <c r="K102" s="99" t="s">
        <v>824</v>
      </c>
      <c r="L102" s="130">
        <v>495422659</v>
      </c>
      <c r="M102" s="109" t="s">
        <v>564</v>
      </c>
      <c r="N102" s="12" t="s">
        <v>823</v>
      </c>
      <c r="O102" s="100"/>
      <c r="P102" s="131">
        <v>725081260</v>
      </c>
      <c r="Q102" s="67"/>
      <c r="R102" s="68"/>
      <c r="S102" s="99"/>
      <c r="T102" s="65"/>
      <c r="U102" s="170">
        <v>0</v>
      </c>
      <c r="V102" s="48">
        <f t="shared" si="17"/>
        <v>0</v>
      </c>
      <c r="W102" s="171">
        <f t="shared" si="18"/>
        <v>0</v>
      </c>
      <c r="X102" s="69">
        <v>8800</v>
      </c>
      <c r="Y102" s="48">
        <f t="shared" si="19"/>
        <v>9.5548317046688389</v>
      </c>
      <c r="Z102" s="137">
        <f t="shared" si="20"/>
        <v>14.926661748783944</v>
      </c>
      <c r="AA102" s="69">
        <v>0</v>
      </c>
      <c r="AB102" s="48">
        <f t="shared" si="21"/>
        <v>0</v>
      </c>
      <c r="AC102" s="137">
        <f t="shared" si="22"/>
        <v>0</v>
      </c>
      <c r="AD102" s="70">
        <f t="shared" si="23"/>
        <v>8800</v>
      </c>
      <c r="AE102" s="71">
        <f t="shared" si="24"/>
        <v>9.5548317046688389</v>
      </c>
      <c r="AF102" s="193">
        <f t="shared" si="25"/>
        <v>14.926661748783944</v>
      </c>
      <c r="AG102" s="185">
        <f t="shared" si="26"/>
        <v>2.0974854010249078E-4</v>
      </c>
      <c r="AH102" s="180">
        <f t="shared" si="27"/>
        <v>1.3590733590733591E-3</v>
      </c>
      <c r="AI102" s="189">
        <v>921</v>
      </c>
      <c r="AJ102" s="125">
        <v>589.54909999999995</v>
      </c>
      <c r="AK102" s="149">
        <v>316</v>
      </c>
      <c r="AL102" s="221">
        <v>240</v>
      </c>
      <c r="AM102" s="216">
        <v>91.610738255033553</v>
      </c>
      <c r="AN102" s="213">
        <v>0.29761904761904762</v>
      </c>
      <c r="AO102" s="127">
        <v>8.391</v>
      </c>
      <c r="AP102" s="133">
        <v>1.2949999999999999</v>
      </c>
      <c r="AQ102" s="224">
        <f t="shared" si="28"/>
        <v>1.2738589211618256</v>
      </c>
      <c r="AR102" s="158">
        <v>723</v>
      </c>
      <c r="AS102" s="229">
        <f t="shared" si="29"/>
        <v>1.0784543325526932</v>
      </c>
      <c r="AT102" s="230">
        <v>854</v>
      </c>
      <c r="AU102" s="203">
        <v>17.37242128121607</v>
      </c>
      <c r="AV102" s="204">
        <v>69.489685124864266</v>
      </c>
      <c r="AW102" s="205">
        <v>13.137893593919653</v>
      </c>
      <c r="AX102" s="123">
        <v>4.9154999999999998</v>
      </c>
      <c r="AY102" s="281">
        <v>2</v>
      </c>
      <c r="AZ102" s="282">
        <v>38.25</v>
      </c>
      <c r="BA102" s="283">
        <f t="shared" si="30"/>
        <v>59.75</v>
      </c>
      <c r="BB102" s="234">
        <v>81.785714285714292</v>
      </c>
      <c r="BC102" s="20">
        <v>2011</v>
      </c>
      <c r="BD102" s="263" t="s">
        <v>556</v>
      </c>
      <c r="BE102" s="261" t="s">
        <v>556</v>
      </c>
      <c r="BF102" s="259" t="s">
        <v>556</v>
      </c>
      <c r="BG102" s="256">
        <v>93.236714975845416</v>
      </c>
      <c r="BH102" s="248" t="s">
        <v>556</v>
      </c>
      <c r="BI102" s="249">
        <v>81.78391959798995</v>
      </c>
      <c r="BJ102" s="308" t="s">
        <v>556</v>
      </c>
      <c r="BK102" s="307" t="s">
        <v>557</v>
      </c>
      <c r="BL102" s="319" t="s">
        <v>1728</v>
      </c>
      <c r="BM102" s="320" t="s">
        <v>557</v>
      </c>
      <c r="BN102" s="321" t="s">
        <v>1767</v>
      </c>
      <c r="BO102" s="145" t="s">
        <v>557</v>
      </c>
      <c r="BP102" s="14" t="s">
        <v>556</v>
      </c>
      <c r="BQ102" s="14" t="s">
        <v>557</v>
      </c>
    </row>
    <row r="103" spans="1:70" s="56" customFormat="1" ht="13.95" customHeight="1" x14ac:dyDescent="0.3">
      <c r="A103" s="56" t="s">
        <v>459</v>
      </c>
      <c r="B103" s="57" t="s">
        <v>462</v>
      </c>
      <c r="C103" s="55" t="s">
        <v>139</v>
      </c>
      <c r="D103" s="58">
        <v>4</v>
      </c>
      <c r="E103" s="59" t="s">
        <v>514</v>
      </c>
      <c r="F103" s="60" t="s">
        <v>453</v>
      </c>
      <c r="G103" s="61" t="s">
        <v>117</v>
      </c>
      <c r="H103" s="61" t="s">
        <v>117</v>
      </c>
      <c r="I103" s="62" t="s">
        <v>117</v>
      </c>
      <c r="J103" s="63" t="s">
        <v>1880</v>
      </c>
      <c r="K103" s="99" t="s">
        <v>1685</v>
      </c>
      <c r="L103" s="130">
        <v>493691538</v>
      </c>
      <c r="M103" s="109" t="s">
        <v>537</v>
      </c>
      <c r="N103" s="12" t="s">
        <v>1053</v>
      </c>
      <c r="O103" s="99" t="s">
        <v>1054</v>
      </c>
      <c r="P103" s="131">
        <v>730519017</v>
      </c>
      <c r="Q103" s="67"/>
      <c r="R103" s="68"/>
      <c r="S103" s="99"/>
      <c r="T103" s="65"/>
      <c r="U103" s="170">
        <f>792500+464600</f>
        <v>1257100</v>
      </c>
      <c r="V103" s="48">
        <f t="shared" si="17"/>
        <v>2445.7198443579769</v>
      </c>
      <c r="W103" s="171">
        <f t="shared" si="18"/>
        <v>1353.1721073241692</v>
      </c>
      <c r="X103" s="69">
        <v>47800</v>
      </c>
      <c r="Y103" s="48">
        <f t="shared" si="19"/>
        <v>92.996108949416339</v>
      </c>
      <c r="Z103" s="137">
        <f t="shared" si="20"/>
        <v>51.453048071032761</v>
      </c>
      <c r="AA103" s="69">
        <v>0</v>
      </c>
      <c r="AB103" s="48">
        <f t="shared" si="21"/>
        <v>0</v>
      </c>
      <c r="AC103" s="137">
        <f t="shared" si="22"/>
        <v>0</v>
      </c>
      <c r="AD103" s="70">
        <f t="shared" si="23"/>
        <v>1304900</v>
      </c>
      <c r="AE103" s="71">
        <f t="shared" si="24"/>
        <v>2538.7159533073932</v>
      </c>
      <c r="AF103" s="193">
        <f t="shared" si="25"/>
        <v>1404.625155395202</v>
      </c>
      <c r="AG103" s="185">
        <f t="shared" si="26"/>
        <v>2.6894064303380049E-2</v>
      </c>
      <c r="AH103" s="180">
        <f t="shared" si="27"/>
        <v>7.0155913978494633E-2</v>
      </c>
      <c r="AI103" s="189">
        <v>514</v>
      </c>
      <c r="AJ103" s="125">
        <v>929.00229999999999</v>
      </c>
      <c r="AK103" s="149">
        <v>256</v>
      </c>
      <c r="AL103" s="221">
        <v>170</v>
      </c>
      <c r="AM103" s="216">
        <v>94.146341463414629</v>
      </c>
      <c r="AN103" s="213">
        <v>0.36231884057971009</v>
      </c>
      <c r="AO103" s="127">
        <v>9.7040000000000006</v>
      </c>
      <c r="AP103" s="133">
        <v>3.72</v>
      </c>
      <c r="AQ103" s="224">
        <f t="shared" si="28"/>
        <v>1.0383838383838384</v>
      </c>
      <c r="AR103" s="158">
        <v>495</v>
      </c>
      <c r="AS103" s="229">
        <f t="shared" si="29"/>
        <v>0.61190476190476195</v>
      </c>
      <c r="AT103" s="230">
        <v>840</v>
      </c>
      <c r="AU103" s="203">
        <v>13.424124513618677</v>
      </c>
      <c r="AV103" s="204">
        <v>67.315175097276267</v>
      </c>
      <c r="AW103" s="205">
        <v>19.260700389105061</v>
      </c>
      <c r="AX103" s="123">
        <v>5.3097000000000003</v>
      </c>
      <c r="AY103" s="281">
        <v>13.397129186602871</v>
      </c>
      <c r="AZ103" s="282">
        <v>26.794258373205743</v>
      </c>
      <c r="BA103" s="283">
        <f t="shared" si="30"/>
        <v>59.808612440191389</v>
      </c>
      <c r="BB103" s="234">
        <v>55.38461538461538</v>
      </c>
      <c r="BC103" s="20">
        <v>2010</v>
      </c>
      <c r="BD103" s="263" t="s">
        <v>556</v>
      </c>
      <c r="BE103" s="261" t="s">
        <v>556</v>
      </c>
      <c r="BF103" s="259" t="s">
        <v>556</v>
      </c>
      <c r="BG103" s="256">
        <v>81.325301204819283</v>
      </c>
      <c r="BH103" s="248" t="s">
        <v>556</v>
      </c>
      <c r="BI103" s="249">
        <v>58.848614072494662</v>
      </c>
      <c r="BJ103" s="308" t="s">
        <v>556</v>
      </c>
      <c r="BK103" s="307" t="s">
        <v>557</v>
      </c>
      <c r="BL103" s="319" t="s">
        <v>1728</v>
      </c>
      <c r="BM103" s="320" t="s">
        <v>556</v>
      </c>
      <c r="BN103" s="321" t="s">
        <v>1803</v>
      </c>
      <c r="BO103" s="145" t="s">
        <v>556</v>
      </c>
      <c r="BP103" s="14" t="s">
        <v>556</v>
      </c>
      <c r="BQ103" s="14" t="s">
        <v>557</v>
      </c>
      <c r="BR103" s="72"/>
    </row>
    <row r="104" spans="1:70" s="56" customFormat="1" ht="13.95" customHeight="1" x14ac:dyDescent="0.3">
      <c r="A104" s="56" t="s">
        <v>459</v>
      </c>
      <c r="B104" s="57" t="s">
        <v>462</v>
      </c>
      <c r="C104" s="55" t="s">
        <v>403</v>
      </c>
      <c r="D104" s="58">
        <v>1</v>
      </c>
      <c r="E104" s="59"/>
      <c r="F104" s="60" t="s">
        <v>456</v>
      </c>
      <c r="G104" s="61" t="s">
        <v>531</v>
      </c>
      <c r="H104" s="61" t="s">
        <v>531</v>
      </c>
      <c r="I104" s="62" t="s">
        <v>386</v>
      </c>
      <c r="J104" s="63" t="s">
        <v>1896</v>
      </c>
      <c r="K104" s="99" t="s">
        <v>1574</v>
      </c>
      <c r="L104" s="130">
        <v>499391172</v>
      </c>
      <c r="M104" s="109" t="s">
        <v>564</v>
      </c>
      <c r="N104" s="12" t="s">
        <v>1573</v>
      </c>
      <c r="O104" s="100"/>
      <c r="P104" s="131">
        <v>724180079</v>
      </c>
      <c r="Q104" s="82"/>
      <c r="R104" s="72"/>
      <c r="S104" s="115"/>
      <c r="T104" s="112"/>
      <c r="U104" s="170">
        <v>0</v>
      </c>
      <c r="V104" s="48">
        <f t="shared" si="17"/>
        <v>0</v>
      </c>
      <c r="W104" s="171">
        <f t="shared" si="18"/>
        <v>0</v>
      </c>
      <c r="X104" s="69">
        <v>0</v>
      </c>
      <c r="Y104" s="48">
        <f t="shared" si="19"/>
        <v>0</v>
      </c>
      <c r="Z104" s="137">
        <f t="shared" si="20"/>
        <v>0</v>
      </c>
      <c r="AA104" s="69">
        <v>0</v>
      </c>
      <c r="AB104" s="48">
        <f t="shared" si="21"/>
        <v>0</v>
      </c>
      <c r="AC104" s="137">
        <f t="shared" si="22"/>
        <v>0</v>
      </c>
      <c r="AD104" s="70">
        <f t="shared" si="23"/>
        <v>0</v>
      </c>
      <c r="AE104" s="71">
        <f t="shared" si="24"/>
        <v>0</v>
      </c>
      <c r="AF104" s="193">
        <f t="shared" si="25"/>
        <v>0</v>
      </c>
      <c r="AG104" s="185">
        <f t="shared" si="26"/>
        <v>0</v>
      </c>
      <c r="AH104" s="180">
        <f t="shared" si="27"/>
        <v>0</v>
      </c>
      <c r="AI104" s="189">
        <v>432</v>
      </c>
      <c r="AJ104" s="125">
        <v>1408.7634</v>
      </c>
      <c r="AK104" s="149">
        <v>235</v>
      </c>
      <c r="AL104" s="221">
        <v>125</v>
      </c>
      <c r="AM104" s="216">
        <v>77.38095238095238</v>
      </c>
      <c r="AN104" s="213">
        <v>22.178988326848245</v>
      </c>
      <c r="AO104" s="127">
        <v>7.4850000000000003</v>
      </c>
      <c r="AP104" s="133">
        <v>2.2730000000000001</v>
      </c>
      <c r="AQ104" s="224">
        <f t="shared" si="28"/>
        <v>0.87804878048780488</v>
      </c>
      <c r="AR104" s="158">
        <v>492</v>
      </c>
      <c r="AS104" s="229">
        <f t="shared" si="29"/>
        <v>0.35265306122448981</v>
      </c>
      <c r="AT104" s="230">
        <v>1225</v>
      </c>
      <c r="AU104" s="203">
        <v>12.5</v>
      </c>
      <c r="AV104" s="204">
        <v>67.824074074074076</v>
      </c>
      <c r="AW104" s="205">
        <v>19.675925925925927</v>
      </c>
      <c r="AX104" s="123">
        <v>8.2507999999999999</v>
      </c>
      <c r="AY104" s="281">
        <v>5.7471264367816088</v>
      </c>
      <c r="AZ104" s="282">
        <v>48.275862068965516</v>
      </c>
      <c r="BA104" s="283">
        <f t="shared" si="30"/>
        <v>45.977011494252871</v>
      </c>
      <c r="BB104" s="234">
        <v>94.871794871794862</v>
      </c>
      <c r="BC104" s="120">
        <v>2018</v>
      </c>
      <c r="BD104" s="263" t="s">
        <v>556</v>
      </c>
      <c r="BE104" s="261" t="s">
        <v>556</v>
      </c>
      <c r="BF104" s="260" t="s">
        <v>557</v>
      </c>
      <c r="BG104" s="256">
        <v>4.3165467625899279</v>
      </c>
      <c r="BH104" s="248" t="s">
        <v>556</v>
      </c>
      <c r="BI104" s="249">
        <v>29.894179894179896</v>
      </c>
      <c r="BJ104" s="308" t="s">
        <v>556</v>
      </c>
      <c r="BK104" s="307" t="s">
        <v>557</v>
      </c>
      <c r="BL104" s="319" t="s">
        <v>557</v>
      </c>
      <c r="BM104" s="320" t="s">
        <v>556</v>
      </c>
      <c r="BN104" s="321" t="s">
        <v>1838</v>
      </c>
      <c r="BO104" s="145" t="s">
        <v>556</v>
      </c>
      <c r="BP104" s="14" t="s">
        <v>556</v>
      </c>
      <c r="BQ104" s="14" t="s">
        <v>557</v>
      </c>
      <c r="BR104" s="72"/>
    </row>
    <row r="105" spans="1:70" s="56" customFormat="1" ht="13.95" customHeight="1" x14ac:dyDescent="0.3">
      <c r="A105" s="56" t="s">
        <v>459</v>
      </c>
      <c r="B105" s="57" t="s">
        <v>462</v>
      </c>
      <c r="C105" s="55" t="s">
        <v>404</v>
      </c>
      <c r="D105" s="58">
        <v>1</v>
      </c>
      <c r="E105" s="59"/>
      <c r="F105" s="60" t="s">
        <v>456</v>
      </c>
      <c r="G105" s="61" t="s">
        <v>389</v>
      </c>
      <c r="H105" s="61" t="s">
        <v>389</v>
      </c>
      <c r="I105" s="62" t="s">
        <v>389</v>
      </c>
      <c r="J105" s="63" t="s">
        <v>1897</v>
      </c>
      <c r="K105" s="99" t="s">
        <v>1576</v>
      </c>
      <c r="L105" s="130">
        <v>499431101</v>
      </c>
      <c r="M105" s="109" t="s">
        <v>564</v>
      </c>
      <c r="N105" s="12" t="s">
        <v>1575</v>
      </c>
      <c r="O105" s="100"/>
      <c r="P105" s="131">
        <v>774276133</v>
      </c>
      <c r="Q105" s="84"/>
      <c r="S105" s="105"/>
      <c r="T105" s="112"/>
      <c r="U105" s="170">
        <f>108000+702560+96000</f>
        <v>906560</v>
      </c>
      <c r="V105" s="48">
        <f t="shared" si="17"/>
        <v>2553.6901408450703</v>
      </c>
      <c r="W105" s="171">
        <f t="shared" si="18"/>
        <v>1016.5558116680548</v>
      </c>
      <c r="X105" s="69">
        <v>0</v>
      </c>
      <c r="Y105" s="48">
        <f t="shared" si="19"/>
        <v>0</v>
      </c>
      <c r="Z105" s="137">
        <f t="shared" si="20"/>
        <v>0</v>
      </c>
      <c r="AA105" s="69">
        <v>0</v>
      </c>
      <c r="AB105" s="48">
        <f t="shared" si="21"/>
        <v>0</v>
      </c>
      <c r="AC105" s="137">
        <f t="shared" si="22"/>
        <v>0</v>
      </c>
      <c r="AD105" s="70">
        <f t="shared" si="23"/>
        <v>906560</v>
      </c>
      <c r="AE105" s="71">
        <f t="shared" si="24"/>
        <v>2553.6901408450703</v>
      </c>
      <c r="AF105" s="193">
        <f t="shared" si="25"/>
        <v>1016.5558116680548</v>
      </c>
      <c r="AG105" s="185">
        <f t="shared" si="26"/>
        <v>5.2131109833237488E-2</v>
      </c>
      <c r="AH105" s="180" t="s">
        <v>457</v>
      </c>
      <c r="AI105" s="189">
        <v>355</v>
      </c>
      <c r="AJ105" s="125">
        <v>891.79560000000004</v>
      </c>
      <c r="AK105" s="149">
        <v>162</v>
      </c>
      <c r="AL105" s="221">
        <v>96</v>
      </c>
      <c r="AM105" s="216">
        <v>92.96875</v>
      </c>
      <c r="AN105" s="213">
        <v>3.8043478260869565</v>
      </c>
      <c r="AO105" s="127">
        <v>3.4780000000000002</v>
      </c>
      <c r="AP105" s="133">
        <v>0</v>
      </c>
      <c r="AQ105" s="224">
        <f t="shared" si="28"/>
        <v>1.0725075528700907</v>
      </c>
      <c r="AR105" s="158">
        <v>331</v>
      </c>
      <c r="AS105" s="229">
        <f t="shared" si="29"/>
        <v>0.45512820512820512</v>
      </c>
      <c r="AT105" s="230">
        <v>780</v>
      </c>
      <c r="AU105" s="203">
        <v>16.056338028169016</v>
      </c>
      <c r="AV105" s="204">
        <v>65.352112676056322</v>
      </c>
      <c r="AW105" s="205">
        <v>18.591549295774648</v>
      </c>
      <c r="AX105" s="123">
        <v>1.2712000000000001</v>
      </c>
      <c r="AY105" s="281">
        <v>10</v>
      </c>
      <c r="AZ105" s="282">
        <v>40</v>
      </c>
      <c r="BA105" s="283">
        <f t="shared" si="30"/>
        <v>50</v>
      </c>
      <c r="BB105" s="234">
        <v>90.123456790123456</v>
      </c>
      <c r="BC105" s="120" t="s">
        <v>1811</v>
      </c>
      <c r="BD105" s="263" t="s">
        <v>556</v>
      </c>
      <c r="BE105" s="262" t="s">
        <v>557</v>
      </c>
      <c r="BF105" s="260" t="s">
        <v>557</v>
      </c>
      <c r="BG105" s="256">
        <v>0</v>
      </c>
      <c r="BH105" s="254" t="s">
        <v>557</v>
      </c>
      <c r="BI105" s="249">
        <v>0</v>
      </c>
      <c r="BJ105" s="308" t="s">
        <v>556</v>
      </c>
      <c r="BK105" s="307" t="s">
        <v>557</v>
      </c>
      <c r="BL105" s="319" t="s">
        <v>1728</v>
      </c>
      <c r="BM105" s="320" t="s">
        <v>557</v>
      </c>
      <c r="BN105" s="321" t="s">
        <v>1731</v>
      </c>
      <c r="BO105" s="145" t="s">
        <v>557</v>
      </c>
      <c r="BP105" s="14" t="s">
        <v>557</v>
      </c>
      <c r="BQ105" s="14" t="s">
        <v>557</v>
      </c>
    </row>
    <row r="106" spans="1:70" s="56" customFormat="1" ht="13.95" customHeight="1" x14ac:dyDescent="0.3">
      <c r="A106" s="56" t="s">
        <v>459</v>
      </c>
      <c r="B106" s="57" t="s">
        <v>462</v>
      </c>
      <c r="C106" s="55" t="s">
        <v>405</v>
      </c>
      <c r="D106" s="58">
        <v>6</v>
      </c>
      <c r="E106" s="59" t="s">
        <v>724</v>
      </c>
      <c r="F106" s="60" t="s">
        <v>456</v>
      </c>
      <c r="G106" s="61" t="s">
        <v>378</v>
      </c>
      <c r="H106" s="61" t="s">
        <v>532</v>
      </c>
      <c r="I106" s="62" t="s">
        <v>405</v>
      </c>
      <c r="J106" s="63" t="s">
        <v>1899</v>
      </c>
      <c r="K106" s="99" t="s">
        <v>1898</v>
      </c>
      <c r="L106" s="130">
        <v>499874156</v>
      </c>
      <c r="M106" s="109" t="s">
        <v>564</v>
      </c>
      <c r="N106" s="12" t="s">
        <v>1577</v>
      </c>
      <c r="O106" s="100" t="s">
        <v>1578</v>
      </c>
      <c r="P106" s="131">
        <v>736680605</v>
      </c>
      <c r="Q106" s="84"/>
      <c r="S106" s="105"/>
      <c r="T106" s="112"/>
      <c r="U106" s="170">
        <v>201800</v>
      </c>
      <c r="V106" s="48">
        <f t="shared" si="17"/>
        <v>202.61044176706827</v>
      </c>
      <c r="W106" s="171">
        <f t="shared" si="18"/>
        <v>70.857965664294483</v>
      </c>
      <c r="X106" s="69">
        <f>358760+67000</f>
        <v>425760</v>
      </c>
      <c r="Y106" s="48">
        <f t="shared" si="19"/>
        <v>427.46987951807228</v>
      </c>
      <c r="Z106" s="137">
        <f t="shared" si="20"/>
        <v>149.49696462452931</v>
      </c>
      <c r="AA106" s="69">
        <v>1000000</v>
      </c>
      <c r="AB106" s="48">
        <f t="shared" si="21"/>
        <v>1004.0160642570281</v>
      </c>
      <c r="AC106" s="137">
        <f t="shared" si="22"/>
        <v>351.12966136915003</v>
      </c>
      <c r="AD106" s="70">
        <f t="shared" si="23"/>
        <v>1627560</v>
      </c>
      <c r="AE106" s="71">
        <f t="shared" si="24"/>
        <v>1634.0963855421687</v>
      </c>
      <c r="AF106" s="193">
        <f t="shared" si="25"/>
        <v>571.48459165797385</v>
      </c>
      <c r="AG106" s="185">
        <f t="shared" si="26"/>
        <v>1.1476237484134818E-2</v>
      </c>
      <c r="AH106" s="180">
        <f t="shared" ref="AH106:AH137" si="31">IF(AD106=0,0,1/(AP106*5000000/AD106))</f>
        <v>4.9711667684789247E-2</v>
      </c>
      <c r="AI106" s="189">
        <v>996</v>
      </c>
      <c r="AJ106" s="125">
        <v>2847.9508000000001</v>
      </c>
      <c r="AK106" s="149">
        <v>614</v>
      </c>
      <c r="AL106" s="221">
        <v>255</v>
      </c>
      <c r="AM106" s="216">
        <v>54.098360655737707</v>
      </c>
      <c r="AN106" s="213">
        <v>19.96699669966997</v>
      </c>
      <c r="AO106" s="127">
        <v>28.364000000000001</v>
      </c>
      <c r="AP106" s="133">
        <v>6.548</v>
      </c>
      <c r="AQ106" s="224">
        <f t="shared" si="28"/>
        <v>0.9688715953307393</v>
      </c>
      <c r="AR106" s="158">
        <v>1028</v>
      </c>
      <c r="AS106" s="229">
        <f t="shared" si="29"/>
        <v>0.40242424242424241</v>
      </c>
      <c r="AT106" s="230">
        <v>2475</v>
      </c>
      <c r="AU106" s="203">
        <v>13.554216867469879</v>
      </c>
      <c r="AV106" s="204">
        <v>70.180722891566262</v>
      </c>
      <c r="AW106" s="205">
        <v>16.265060240963855</v>
      </c>
      <c r="AX106" s="123">
        <v>10.888299999999999</v>
      </c>
      <c r="AY106" s="281">
        <v>5.8823529411764701</v>
      </c>
      <c r="AZ106" s="282">
        <v>18.778280542986426</v>
      </c>
      <c r="BA106" s="283">
        <f t="shared" si="30"/>
        <v>75.339366515837114</v>
      </c>
      <c r="BB106" s="234">
        <v>71.428571428571431</v>
      </c>
      <c r="BC106" s="20">
        <v>2010</v>
      </c>
      <c r="BD106" s="263" t="s">
        <v>556</v>
      </c>
      <c r="BE106" s="261" t="s">
        <v>556</v>
      </c>
      <c r="BF106" s="259" t="s">
        <v>556</v>
      </c>
      <c r="BG106" s="256">
        <v>66.530612244897952</v>
      </c>
      <c r="BH106" s="254" t="s">
        <v>557</v>
      </c>
      <c r="BI106" s="249">
        <v>0</v>
      </c>
      <c r="BJ106" s="308" t="s">
        <v>556</v>
      </c>
      <c r="BK106" s="307" t="s">
        <v>556</v>
      </c>
      <c r="BL106" s="319" t="s">
        <v>1728</v>
      </c>
      <c r="BM106" s="320" t="s">
        <v>556</v>
      </c>
      <c r="BN106" s="321" t="s">
        <v>1900</v>
      </c>
      <c r="BO106" s="145" t="s">
        <v>556</v>
      </c>
      <c r="BP106" s="14" t="s">
        <v>556</v>
      </c>
      <c r="BQ106" s="14" t="s">
        <v>557</v>
      </c>
    </row>
    <row r="107" spans="1:70" s="72" customFormat="1" ht="13.95" customHeight="1" x14ac:dyDescent="0.3">
      <c r="A107" s="56" t="s">
        <v>459</v>
      </c>
      <c r="B107" s="57" t="s">
        <v>462</v>
      </c>
      <c r="C107" s="55" t="s">
        <v>407</v>
      </c>
      <c r="D107" s="58">
        <v>2</v>
      </c>
      <c r="E107" s="59" t="s">
        <v>725</v>
      </c>
      <c r="F107" s="60" t="s">
        <v>456</v>
      </c>
      <c r="G107" s="61" t="s">
        <v>378</v>
      </c>
      <c r="H107" s="61" t="s">
        <v>378</v>
      </c>
      <c r="I107" s="62" t="s">
        <v>390</v>
      </c>
      <c r="J107" s="63" t="s">
        <v>1890</v>
      </c>
      <c r="K107" s="99" t="s">
        <v>1581</v>
      </c>
      <c r="L107" s="130">
        <v>499448345</v>
      </c>
      <c r="M107" s="109" t="s">
        <v>537</v>
      </c>
      <c r="N107" s="12" t="s">
        <v>1579</v>
      </c>
      <c r="O107" s="100" t="s">
        <v>1580</v>
      </c>
      <c r="P107" s="131">
        <v>603196055</v>
      </c>
      <c r="Q107" s="84"/>
      <c r="R107" s="56"/>
      <c r="S107" s="105"/>
      <c r="T107" s="112"/>
      <c r="U107" s="170">
        <v>860300</v>
      </c>
      <c r="V107" s="48">
        <f t="shared" si="17"/>
        <v>2848.6754966887415</v>
      </c>
      <c r="W107" s="171">
        <f t="shared" si="18"/>
        <v>675.7243418560372</v>
      </c>
      <c r="X107" s="69">
        <v>158059</v>
      </c>
      <c r="Y107" s="48">
        <f t="shared" si="19"/>
        <v>523.37417218543044</v>
      </c>
      <c r="Z107" s="137">
        <f t="shared" si="20"/>
        <v>124.14775514288432</v>
      </c>
      <c r="AA107" s="69">
        <v>0</v>
      </c>
      <c r="AB107" s="48">
        <f t="shared" si="21"/>
        <v>0</v>
      </c>
      <c r="AC107" s="137">
        <f t="shared" si="22"/>
        <v>0</v>
      </c>
      <c r="AD107" s="70">
        <f t="shared" si="23"/>
        <v>1018359</v>
      </c>
      <c r="AE107" s="71">
        <f t="shared" si="24"/>
        <v>3372.0496688741723</v>
      </c>
      <c r="AF107" s="193">
        <f t="shared" si="25"/>
        <v>799.87209699892151</v>
      </c>
      <c r="AG107" s="185">
        <f t="shared" si="26"/>
        <v>6.640749918487121E-2</v>
      </c>
      <c r="AH107" s="180">
        <f t="shared" si="31"/>
        <v>1.1442235955056179</v>
      </c>
      <c r="AI107" s="189">
        <v>302</v>
      </c>
      <c r="AJ107" s="125">
        <v>1273.1523</v>
      </c>
      <c r="AK107" s="149">
        <v>177</v>
      </c>
      <c r="AL107" s="221">
        <v>87</v>
      </c>
      <c r="AM107" s="216">
        <v>83.495145631067956</v>
      </c>
      <c r="AN107" s="213">
        <v>35.35911602209945</v>
      </c>
      <c r="AO107" s="127">
        <v>3.0670000000000002</v>
      </c>
      <c r="AP107" s="133">
        <v>0.17799999999999999</v>
      </c>
      <c r="AQ107" s="224">
        <f t="shared" si="28"/>
        <v>1.0785714285714285</v>
      </c>
      <c r="AR107" s="158">
        <v>280</v>
      </c>
      <c r="AS107" s="229">
        <f t="shared" si="29"/>
        <v>0.31656184486373168</v>
      </c>
      <c r="AT107" s="230">
        <v>954</v>
      </c>
      <c r="AU107" s="203">
        <v>9.9337748344370862</v>
      </c>
      <c r="AV107" s="204">
        <v>68.543046357615893</v>
      </c>
      <c r="AW107" s="205">
        <v>21.523178807947019</v>
      </c>
      <c r="AX107" s="123">
        <v>1.9231</v>
      </c>
      <c r="AY107" s="281">
        <v>7.8260869565217401</v>
      </c>
      <c r="AZ107" s="282">
        <v>45.217391304347828</v>
      </c>
      <c r="BA107" s="283">
        <f t="shared" si="30"/>
        <v>46.956521739130437</v>
      </c>
      <c r="BB107" s="234">
        <v>92.156862745098039</v>
      </c>
      <c r="BC107" s="120">
        <v>2017</v>
      </c>
      <c r="BD107" s="263" t="s">
        <v>556</v>
      </c>
      <c r="BE107" s="261" t="s">
        <v>556</v>
      </c>
      <c r="BF107" s="259" t="s">
        <v>556</v>
      </c>
      <c r="BG107" s="256">
        <v>9.765625</v>
      </c>
      <c r="BH107" s="254" t="s">
        <v>557</v>
      </c>
      <c r="BI107" s="249">
        <v>0</v>
      </c>
      <c r="BJ107" s="309" t="s">
        <v>557</v>
      </c>
      <c r="BK107" s="307" t="s">
        <v>557</v>
      </c>
      <c r="BL107" s="319" t="s">
        <v>1728</v>
      </c>
      <c r="BM107" s="320" t="s">
        <v>557</v>
      </c>
      <c r="BN107" s="321" t="s">
        <v>1838</v>
      </c>
      <c r="BO107" s="145" t="s">
        <v>557</v>
      </c>
      <c r="BP107" s="14" t="s">
        <v>557</v>
      </c>
      <c r="BQ107" s="14" t="s">
        <v>557</v>
      </c>
      <c r="BR107" s="56"/>
    </row>
    <row r="108" spans="1:70" s="72" customFormat="1" ht="13.95" customHeight="1" x14ac:dyDescent="0.3">
      <c r="A108" s="56" t="s">
        <v>459</v>
      </c>
      <c r="B108" s="57" t="s">
        <v>462</v>
      </c>
      <c r="C108" s="55" t="s">
        <v>247</v>
      </c>
      <c r="D108" s="58">
        <v>2</v>
      </c>
      <c r="E108" s="59" t="s">
        <v>647</v>
      </c>
      <c r="F108" s="60" t="s">
        <v>454</v>
      </c>
      <c r="G108" s="61" t="s">
        <v>226</v>
      </c>
      <c r="H108" s="61" t="s">
        <v>238</v>
      </c>
      <c r="I108" s="62" t="s">
        <v>238</v>
      </c>
      <c r="J108" s="63" t="s">
        <v>1887</v>
      </c>
      <c r="K108" s="99" t="s">
        <v>1284</v>
      </c>
      <c r="L108" s="130">
        <v>491463023</v>
      </c>
      <c r="M108" s="109" t="s">
        <v>564</v>
      </c>
      <c r="N108" s="12" t="s">
        <v>1282</v>
      </c>
      <c r="O108" s="100" t="s">
        <v>1283</v>
      </c>
      <c r="P108" s="131">
        <v>606351408</v>
      </c>
      <c r="Q108" s="67"/>
      <c r="R108" s="68"/>
      <c r="S108" s="99"/>
      <c r="T108" s="65"/>
      <c r="U108" s="170">
        <f>307380+175000</f>
        <v>482380</v>
      </c>
      <c r="V108" s="48">
        <f t="shared" si="17"/>
        <v>951.43984220907294</v>
      </c>
      <c r="W108" s="171">
        <f t="shared" si="18"/>
        <v>868.7444519344142</v>
      </c>
      <c r="X108" s="69">
        <v>106030</v>
      </c>
      <c r="Y108" s="48">
        <f t="shared" si="19"/>
        <v>209.13214990138067</v>
      </c>
      <c r="Z108" s="137">
        <f t="shared" si="20"/>
        <v>190.95521008044682</v>
      </c>
      <c r="AA108" s="69">
        <v>0</v>
      </c>
      <c r="AB108" s="48">
        <f t="shared" si="21"/>
        <v>0</v>
      </c>
      <c r="AC108" s="137">
        <f t="shared" si="22"/>
        <v>0</v>
      </c>
      <c r="AD108" s="70">
        <f t="shared" si="23"/>
        <v>588410</v>
      </c>
      <c r="AE108" s="71">
        <f t="shared" si="24"/>
        <v>1160.5719921104537</v>
      </c>
      <c r="AF108" s="193">
        <f t="shared" si="25"/>
        <v>1059.6996620148609</v>
      </c>
      <c r="AG108" s="185">
        <f t="shared" si="26"/>
        <v>2.9121999505073003E-2</v>
      </c>
      <c r="AH108" s="180">
        <f t="shared" si="31"/>
        <v>0.21396727272727276</v>
      </c>
      <c r="AI108" s="189">
        <v>507</v>
      </c>
      <c r="AJ108" s="125">
        <v>555.26110000000006</v>
      </c>
      <c r="AK108" s="149">
        <v>235</v>
      </c>
      <c r="AL108" s="221">
        <v>137</v>
      </c>
      <c r="AM108" s="216">
        <v>91.061452513966472</v>
      </c>
      <c r="AN108" s="213">
        <v>19.367588932806324</v>
      </c>
      <c r="AO108" s="127">
        <v>4.0410000000000004</v>
      </c>
      <c r="AP108" s="133">
        <v>0.55000000000000004</v>
      </c>
      <c r="AQ108" s="224">
        <f t="shared" si="28"/>
        <v>1.1682027649769586</v>
      </c>
      <c r="AR108" s="158">
        <v>434</v>
      </c>
      <c r="AS108" s="229">
        <f t="shared" si="29"/>
        <v>0.44010416666666669</v>
      </c>
      <c r="AT108" s="230">
        <v>1152</v>
      </c>
      <c r="AU108" s="203">
        <v>16.370808678500985</v>
      </c>
      <c r="AV108" s="204">
        <v>69.42800788954635</v>
      </c>
      <c r="AW108" s="205">
        <v>14.201183431952662</v>
      </c>
      <c r="AX108" s="123">
        <v>3.1429</v>
      </c>
      <c r="AY108" s="281">
        <v>2.5641025641025639</v>
      </c>
      <c r="AZ108" s="282">
        <v>40.17094017094017</v>
      </c>
      <c r="BA108" s="283">
        <f t="shared" si="30"/>
        <v>57.26495726495726</v>
      </c>
      <c r="BB108" s="234">
        <v>85.294117647058826</v>
      </c>
      <c r="BC108" s="20">
        <v>2010</v>
      </c>
      <c r="BD108" s="263" t="s">
        <v>556</v>
      </c>
      <c r="BE108" s="262" t="s">
        <v>557</v>
      </c>
      <c r="BF108" s="260" t="s">
        <v>557</v>
      </c>
      <c r="BG108" s="256">
        <v>0</v>
      </c>
      <c r="BH108" s="254" t="s">
        <v>557</v>
      </c>
      <c r="BI108" s="249">
        <v>0</v>
      </c>
      <c r="BJ108" s="308" t="s">
        <v>556</v>
      </c>
      <c r="BK108" s="307" t="s">
        <v>557</v>
      </c>
      <c r="BL108" s="319" t="s">
        <v>1728</v>
      </c>
      <c r="BM108" s="320" t="s">
        <v>556</v>
      </c>
      <c r="BN108" s="321" t="s">
        <v>1767</v>
      </c>
      <c r="BO108" s="145" t="s">
        <v>556</v>
      </c>
      <c r="BP108" s="14" t="s">
        <v>557</v>
      </c>
      <c r="BQ108" s="14" t="s">
        <v>557</v>
      </c>
      <c r="BR108" s="56"/>
    </row>
    <row r="109" spans="1:70" s="56" customFormat="1" ht="13.95" customHeight="1" x14ac:dyDescent="0.3">
      <c r="A109" s="56" t="s">
        <v>459</v>
      </c>
      <c r="B109" s="57" t="s">
        <v>462</v>
      </c>
      <c r="C109" s="55" t="s">
        <v>248</v>
      </c>
      <c r="D109" s="58">
        <v>1</v>
      </c>
      <c r="E109" s="59"/>
      <c r="F109" s="60" t="s">
        <v>454</v>
      </c>
      <c r="G109" s="61" t="s">
        <v>242</v>
      </c>
      <c r="H109" s="61" t="s">
        <v>242</v>
      </c>
      <c r="I109" s="62" t="s">
        <v>242</v>
      </c>
      <c r="J109" s="63" t="s">
        <v>1877</v>
      </c>
      <c r="K109" s="99" t="s">
        <v>1286</v>
      </c>
      <c r="L109" s="130">
        <v>491815326</v>
      </c>
      <c r="M109" s="109" t="s">
        <v>564</v>
      </c>
      <c r="N109" s="12" t="s">
        <v>1285</v>
      </c>
      <c r="O109" s="100"/>
      <c r="P109" s="131">
        <v>724186822</v>
      </c>
      <c r="Q109" s="67"/>
      <c r="R109" s="68"/>
      <c r="S109" s="99"/>
      <c r="T109" s="65"/>
      <c r="U109" s="170">
        <v>0</v>
      </c>
      <c r="V109" s="48">
        <f t="shared" si="17"/>
        <v>0</v>
      </c>
      <c r="W109" s="171">
        <f t="shared" si="18"/>
        <v>0</v>
      </c>
      <c r="X109" s="69">
        <v>0</v>
      </c>
      <c r="Y109" s="48">
        <f t="shared" si="19"/>
        <v>0</v>
      </c>
      <c r="Z109" s="137">
        <f t="shared" si="20"/>
        <v>0</v>
      </c>
      <c r="AA109" s="69">
        <v>0</v>
      </c>
      <c r="AB109" s="48">
        <f t="shared" si="21"/>
        <v>0</v>
      </c>
      <c r="AC109" s="137">
        <f t="shared" si="22"/>
        <v>0</v>
      </c>
      <c r="AD109" s="70">
        <f t="shared" si="23"/>
        <v>0</v>
      </c>
      <c r="AE109" s="71">
        <f t="shared" si="24"/>
        <v>0</v>
      </c>
      <c r="AF109" s="193">
        <f t="shared" si="25"/>
        <v>0</v>
      </c>
      <c r="AG109" s="185">
        <f t="shared" si="26"/>
        <v>0</v>
      </c>
      <c r="AH109" s="180">
        <f t="shared" si="31"/>
        <v>0</v>
      </c>
      <c r="AI109" s="189">
        <v>142</v>
      </c>
      <c r="AJ109" s="125">
        <v>327.47160000000002</v>
      </c>
      <c r="AK109" s="149">
        <v>60</v>
      </c>
      <c r="AL109" s="221">
        <v>46</v>
      </c>
      <c r="AM109" s="216">
        <v>93.220338983050837</v>
      </c>
      <c r="AN109" s="213">
        <v>5.7142857142857144</v>
      </c>
      <c r="AO109" s="127">
        <v>6.6429999999999998</v>
      </c>
      <c r="AP109" s="133">
        <v>5.4450000000000003</v>
      </c>
      <c r="AQ109" s="224">
        <f t="shared" si="28"/>
        <v>0.77595628415300544</v>
      </c>
      <c r="AR109" s="158">
        <v>183</v>
      </c>
      <c r="AS109" s="229">
        <f t="shared" si="29"/>
        <v>0.31346578366445915</v>
      </c>
      <c r="AT109" s="230">
        <v>453</v>
      </c>
      <c r="AU109" s="203">
        <v>14.084507042253522</v>
      </c>
      <c r="AV109" s="204">
        <v>60.563380281690144</v>
      </c>
      <c r="AW109" s="205">
        <v>25.352112676056336</v>
      </c>
      <c r="AX109" s="123">
        <v>3.4883999999999999</v>
      </c>
      <c r="AY109" s="281">
        <v>2.8571428571428572</v>
      </c>
      <c r="AZ109" s="282">
        <v>51.428571428571423</v>
      </c>
      <c r="BA109" s="283">
        <f t="shared" si="30"/>
        <v>45.714285714285715</v>
      </c>
      <c r="BB109" s="234">
        <v>86.666666666666671</v>
      </c>
      <c r="BC109" s="20">
        <v>2008</v>
      </c>
      <c r="BD109" s="264" t="s">
        <v>557</v>
      </c>
      <c r="BE109" s="261" t="s">
        <v>556</v>
      </c>
      <c r="BF109" s="260" t="s">
        <v>557</v>
      </c>
      <c r="BG109" s="256">
        <v>27.500000000000004</v>
      </c>
      <c r="BH109" s="248" t="s">
        <v>556</v>
      </c>
      <c r="BI109" s="249">
        <v>58.904109589041099</v>
      </c>
      <c r="BJ109" s="309" t="s">
        <v>557</v>
      </c>
      <c r="BK109" s="307" t="s">
        <v>557</v>
      </c>
      <c r="BL109" s="319" t="s">
        <v>1728</v>
      </c>
      <c r="BM109" s="320" t="s">
        <v>557</v>
      </c>
      <c r="BN109" s="321" t="s">
        <v>1838</v>
      </c>
      <c r="BO109" s="145" t="s">
        <v>557</v>
      </c>
      <c r="BP109" s="14" t="s">
        <v>557</v>
      </c>
      <c r="BQ109" s="14" t="s">
        <v>557</v>
      </c>
      <c r="BR109" s="72"/>
    </row>
    <row r="110" spans="1:70" s="72" customFormat="1" ht="13.95" customHeight="1" x14ac:dyDescent="0.3">
      <c r="A110" s="56" t="s">
        <v>460</v>
      </c>
      <c r="B110" s="77" t="s">
        <v>464</v>
      </c>
      <c r="C110" s="74" t="s">
        <v>117</v>
      </c>
      <c r="D110" s="58">
        <v>7</v>
      </c>
      <c r="E110" s="59" t="s">
        <v>1691</v>
      </c>
      <c r="F110" s="60" t="s">
        <v>453</v>
      </c>
      <c r="G110" s="75" t="s">
        <v>117</v>
      </c>
      <c r="H110" s="75" t="s">
        <v>117</v>
      </c>
      <c r="I110" s="76" t="s">
        <v>117</v>
      </c>
      <c r="J110" s="63" t="s">
        <v>1902</v>
      </c>
      <c r="K110" s="99" t="s">
        <v>1901</v>
      </c>
      <c r="L110" s="130">
        <v>492105411</v>
      </c>
      <c r="M110" s="109" t="s">
        <v>564</v>
      </c>
      <c r="N110" s="12" t="s">
        <v>1051</v>
      </c>
      <c r="O110" s="100" t="s">
        <v>1052</v>
      </c>
      <c r="P110" s="130">
        <v>492105412</v>
      </c>
      <c r="Q110" s="67"/>
      <c r="R110" s="68"/>
      <c r="S110" s="99"/>
      <c r="T110" s="65"/>
      <c r="U110" s="172">
        <v>0</v>
      </c>
      <c r="V110" s="135">
        <f t="shared" si="17"/>
        <v>0</v>
      </c>
      <c r="W110" s="173">
        <f t="shared" si="18"/>
        <v>0</v>
      </c>
      <c r="X110" s="69">
        <f>3632898+16000+1500+10000</f>
        <v>3660398</v>
      </c>
      <c r="Y110" s="48">
        <f t="shared" si="19"/>
        <v>426.47069789118024</v>
      </c>
      <c r="Z110" s="137">
        <f t="shared" si="20"/>
        <v>1707.6275440417369</v>
      </c>
      <c r="AA110" s="69">
        <v>0</v>
      </c>
      <c r="AB110" s="48">
        <f t="shared" si="21"/>
        <v>0</v>
      </c>
      <c r="AC110" s="137">
        <f t="shared" si="22"/>
        <v>0</v>
      </c>
      <c r="AD110" s="70">
        <f t="shared" si="23"/>
        <v>3660398</v>
      </c>
      <c r="AE110" s="71">
        <f t="shared" si="24"/>
        <v>426.47069789118024</v>
      </c>
      <c r="AF110" s="193">
        <f t="shared" si="25"/>
        <v>1707.6275440417369</v>
      </c>
      <c r="AG110" s="185">
        <f t="shared" si="26"/>
        <v>5.3192248726649178E-3</v>
      </c>
      <c r="AH110" s="180">
        <f t="shared" si="31"/>
        <v>2.817424568965517E-2</v>
      </c>
      <c r="AI110" s="189">
        <v>8583</v>
      </c>
      <c r="AJ110" s="126">
        <v>2143.5576000000001</v>
      </c>
      <c r="AK110" s="150">
        <v>2614</v>
      </c>
      <c r="AL110" s="221">
        <v>1910</v>
      </c>
      <c r="AM110" s="216">
        <v>55.452644158948317</v>
      </c>
      <c r="AN110" s="213">
        <v>3.517716033647718</v>
      </c>
      <c r="AO110" s="128">
        <v>137.62899999999999</v>
      </c>
      <c r="AP110" s="134">
        <v>25.984000000000002</v>
      </c>
      <c r="AQ110" s="224">
        <f t="shared" si="28"/>
        <v>0.92469295410471886</v>
      </c>
      <c r="AR110" s="158">
        <v>9282</v>
      </c>
      <c r="AS110" s="229">
        <f t="shared" si="29"/>
        <v>0.91104978240101897</v>
      </c>
      <c r="AT110" s="230">
        <v>9421</v>
      </c>
      <c r="AU110" s="203">
        <v>14.610276127228241</v>
      </c>
      <c r="AV110" s="204">
        <v>64.266573459163453</v>
      </c>
      <c r="AW110" s="205">
        <v>21.123150413608297</v>
      </c>
      <c r="AX110" s="123">
        <v>4.7474999999999996</v>
      </c>
      <c r="AY110" s="281">
        <v>3.2685035116153429</v>
      </c>
      <c r="AZ110" s="282">
        <v>31.25337655321448</v>
      </c>
      <c r="BA110" s="283">
        <f t="shared" si="30"/>
        <v>65.478119935170184</v>
      </c>
      <c r="BB110" s="234">
        <v>51.919323357189334</v>
      </c>
      <c r="BC110" s="20">
        <v>1998</v>
      </c>
      <c r="BD110" s="263" t="s">
        <v>556</v>
      </c>
      <c r="BE110" s="261" t="s">
        <v>556</v>
      </c>
      <c r="BF110" s="259" t="s">
        <v>556</v>
      </c>
      <c r="BG110" s="256">
        <v>94.243122045812626</v>
      </c>
      <c r="BH110" s="248" t="s">
        <v>556</v>
      </c>
      <c r="BI110" s="249">
        <v>30.722972070025389</v>
      </c>
      <c r="BJ110" s="311" t="s">
        <v>1710</v>
      </c>
      <c r="BK110" s="307" t="s">
        <v>556</v>
      </c>
      <c r="BL110" s="319" t="s">
        <v>1777</v>
      </c>
      <c r="BM110" s="320" t="s">
        <v>556</v>
      </c>
      <c r="BN110" s="321" t="s">
        <v>1903</v>
      </c>
      <c r="BO110" s="145" t="s">
        <v>556</v>
      </c>
      <c r="BP110" s="14">
        <v>2</v>
      </c>
      <c r="BQ110" s="14" t="s">
        <v>556</v>
      </c>
      <c r="BR110" s="56"/>
    </row>
    <row r="111" spans="1:70" s="56" customFormat="1" ht="13.95" customHeight="1" x14ac:dyDescent="0.3">
      <c r="A111" s="56" t="s">
        <v>459</v>
      </c>
      <c r="B111" s="57" t="s">
        <v>462</v>
      </c>
      <c r="C111" s="55" t="s">
        <v>234</v>
      </c>
      <c r="D111" s="58">
        <v>5</v>
      </c>
      <c r="E111" s="59" t="s">
        <v>648</v>
      </c>
      <c r="F111" s="60" t="s">
        <v>454</v>
      </c>
      <c r="G111" s="61" t="s">
        <v>226</v>
      </c>
      <c r="H111" s="61" t="s">
        <v>233</v>
      </c>
      <c r="I111" s="62" t="s">
        <v>233</v>
      </c>
      <c r="J111" s="63" t="s">
        <v>1891</v>
      </c>
      <c r="K111" s="99" t="s">
        <v>1288</v>
      </c>
      <c r="L111" s="130">
        <v>608403067</v>
      </c>
      <c r="M111" s="109" t="s">
        <v>564</v>
      </c>
      <c r="N111" s="12" t="s">
        <v>1287</v>
      </c>
      <c r="O111" s="100"/>
      <c r="P111" s="131">
        <v>773036872</v>
      </c>
      <c r="Q111" s="67"/>
      <c r="R111" s="68"/>
      <c r="S111" s="99"/>
      <c r="T111" s="65"/>
      <c r="U111" s="170">
        <f>494000+250000</f>
        <v>744000</v>
      </c>
      <c r="V111" s="48">
        <f t="shared" si="17"/>
        <v>1360.1462522851918</v>
      </c>
      <c r="W111" s="171">
        <f t="shared" si="18"/>
        <v>1117.4656120234495</v>
      </c>
      <c r="X111" s="69">
        <v>1433470</v>
      </c>
      <c r="Y111" s="48">
        <f t="shared" si="19"/>
        <v>2620.6032906764167</v>
      </c>
      <c r="Z111" s="137">
        <f t="shared" si="20"/>
        <v>2153.0288049291048</v>
      </c>
      <c r="AA111" s="69">
        <v>0</v>
      </c>
      <c r="AB111" s="48">
        <f t="shared" si="21"/>
        <v>0</v>
      </c>
      <c r="AC111" s="137">
        <f t="shared" si="22"/>
        <v>0</v>
      </c>
      <c r="AD111" s="70">
        <f t="shared" si="23"/>
        <v>2177470</v>
      </c>
      <c r="AE111" s="71">
        <f t="shared" si="24"/>
        <v>3980.7495429616088</v>
      </c>
      <c r="AF111" s="193">
        <f t="shared" si="25"/>
        <v>3270.4944169525543</v>
      </c>
      <c r="AG111" s="185">
        <f t="shared" si="26"/>
        <v>3.7180397848544357E-2</v>
      </c>
      <c r="AH111" s="180">
        <f t="shared" si="31"/>
        <v>7.0582495948136134E-2</v>
      </c>
      <c r="AI111" s="189">
        <v>547</v>
      </c>
      <c r="AJ111" s="125">
        <v>665.79229999999995</v>
      </c>
      <c r="AK111" s="149">
        <v>321</v>
      </c>
      <c r="AL111" s="221">
        <v>153</v>
      </c>
      <c r="AM111" s="216">
        <v>86.772486772486772</v>
      </c>
      <c r="AN111" s="213">
        <v>19.548872180451127</v>
      </c>
      <c r="AO111" s="127">
        <v>11.712999999999999</v>
      </c>
      <c r="AP111" s="133">
        <v>6.17</v>
      </c>
      <c r="AQ111" s="224">
        <f t="shared" si="28"/>
        <v>1.1917211328976034</v>
      </c>
      <c r="AR111" s="158">
        <v>459</v>
      </c>
      <c r="AS111" s="229">
        <f t="shared" si="29"/>
        <v>0.70128205128205123</v>
      </c>
      <c r="AT111" s="230">
        <v>780</v>
      </c>
      <c r="AU111" s="203">
        <v>15.722120658135283</v>
      </c>
      <c r="AV111" s="204">
        <v>65.265082266910426</v>
      </c>
      <c r="AW111" s="205">
        <v>19.012797074954296</v>
      </c>
      <c r="AX111" s="123">
        <v>3.6212</v>
      </c>
      <c r="AY111" s="281">
        <v>14.349775784753364</v>
      </c>
      <c r="AZ111" s="282">
        <v>32.286995515695068</v>
      </c>
      <c r="BA111" s="283">
        <f t="shared" si="30"/>
        <v>53.36322869955157</v>
      </c>
      <c r="BB111" s="234">
        <v>75.471698113207538</v>
      </c>
      <c r="BC111" s="20">
        <v>2011</v>
      </c>
      <c r="BD111" s="263" t="s">
        <v>556</v>
      </c>
      <c r="BE111" s="261" t="s">
        <v>556</v>
      </c>
      <c r="BF111" s="260" t="s">
        <v>557</v>
      </c>
      <c r="BG111" s="256">
        <v>17.214700193423599</v>
      </c>
      <c r="BH111" s="248" t="s">
        <v>556</v>
      </c>
      <c r="BI111" s="249">
        <v>34.193548387096776</v>
      </c>
      <c r="BJ111" s="308" t="s">
        <v>556</v>
      </c>
      <c r="BK111" s="307" t="s">
        <v>556</v>
      </c>
      <c r="BL111" s="319" t="s">
        <v>1728</v>
      </c>
      <c r="BM111" s="320" t="s">
        <v>556</v>
      </c>
      <c r="BN111" s="321" t="s">
        <v>1803</v>
      </c>
      <c r="BO111" s="145" t="s">
        <v>556</v>
      </c>
      <c r="BP111" s="14" t="s">
        <v>556</v>
      </c>
      <c r="BQ111" s="14" t="s">
        <v>557</v>
      </c>
    </row>
    <row r="112" spans="1:70" s="56" customFormat="1" ht="13.95" customHeight="1" x14ac:dyDescent="0.3">
      <c r="A112" s="56" t="s">
        <v>459</v>
      </c>
      <c r="B112" s="57" t="s">
        <v>462</v>
      </c>
      <c r="C112" s="55" t="s">
        <v>30</v>
      </c>
      <c r="D112" s="58">
        <v>4</v>
      </c>
      <c r="E112" s="59" t="s">
        <v>471</v>
      </c>
      <c r="F112" s="60" t="s">
        <v>452</v>
      </c>
      <c r="G112" s="61" t="s">
        <v>11</v>
      </c>
      <c r="H112" s="61" t="s">
        <v>13</v>
      </c>
      <c r="I112" s="62" t="s">
        <v>13</v>
      </c>
      <c r="J112" s="63" t="s">
        <v>1892</v>
      </c>
      <c r="K112" s="99" t="s">
        <v>826</v>
      </c>
      <c r="L112" s="130">
        <v>495426107</v>
      </c>
      <c r="M112" s="109" t="s">
        <v>537</v>
      </c>
      <c r="N112" s="12" t="s">
        <v>825</v>
      </c>
      <c r="O112" s="100" t="s">
        <v>1904</v>
      </c>
      <c r="P112" s="131">
        <v>724168825</v>
      </c>
      <c r="Q112" s="67"/>
      <c r="R112" s="68"/>
      <c r="S112" s="99"/>
      <c r="T112" s="65"/>
      <c r="U112" s="170">
        <v>400000</v>
      </c>
      <c r="V112" s="48">
        <f t="shared" si="17"/>
        <v>585.65153733528552</v>
      </c>
      <c r="W112" s="171">
        <f t="shared" si="18"/>
        <v>315.50419147318377</v>
      </c>
      <c r="X112" s="69">
        <f>254600+39000</f>
        <v>293600</v>
      </c>
      <c r="Y112" s="48">
        <f t="shared" si="19"/>
        <v>429.86822840409957</v>
      </c>
      <c r="Z112" s="137">
        <f t="shared" si="20"/>
        <v>231.58007654131686</v>
      </c>
      <c r="AA112" s="69">
        <v>0</v>
      </c>
      <c r="AB112" s="48">
        <f t="shared" si="21"/>
        <v>0</v>
      </c>
      <c r="AC112" s="137">
        <f t="shared" si="22"/>
        <v>0</v>
      </c>
      <c r="AD112" s="70">
        <f t="shared" si="23"/>
        <v>693600</v>
      </c>
      <c r="AE112" s="71">
        <f t="shared" si="24"/>
        <v>1015.5197657393851</v>
      </c>
      <c r="AF112" s="193">
        <f t="shared" si="25"/>
        <v>547.08426801450059</v>
      </c>
      <c r="AG112" s="185">
        <f t="shared" si="26"/>
        <v>1.4337984496124031E-2</v>
      </c>
      <c r="AH112" s="180">
        <f t="shared" si="31"/>
        <v>5.725134131242262E-2</v>
      </c>
      <c r="AI112" s="189">
        <v>683</v>
      </c>
      <c r="AJ112" s="125">
        <v>1267.8119999999999</v>
      </c>
      <c r="AK112" s="149">
        <v>279</v>
      </c>
      <c r="AL112" s="221">
        <v>177</v>
      </c>
      <c r="AM112" s="216">
        <v>68.253968253968253</v>
      </c>
      <c r="AN112" s="213">
        <v>11.538461538461537</v>
      </c>
      <c r="AO112" s="127">
        <v>9.6750000000000007</v>
      </c>
      <c r="AP112" s="133">
        <v>2.423</v>
      </c>
      <c r="AQ112" s="224">
        <f t="shared" si="28"/>
        <v>0.93306010928961747</v>
      </c>
      <c r="AR112" s="158">
        <v>732</v>
      </c>
      <c r="AS112" s="229">
        <f t="shared" si="29"/>
        <v>0.60335689045936391</v>
      </c>
      <c r="AT112" s="230">
        <v>1132</v>
      </c>
      <c r="AU112" s="203">
        <v>13.909224011713031</v>
      </c>
      <c r="AV112" s="204">
        <v>66.325036603221079</v>
      </c>
      <c r="AW112" s="205">
        <v>19.765739385065885</v>
      </c>
      <c r="AX112" s="123">
        <v>7.3276000000000003</v>
      </c>
      <c r="AY112" s="281">
        <v>6.6901408450704221</v>
      </c>
      <c r="AZ112" s="282">
        <v>33.098591549295776</v>
      </c>
      <c r="BA112" s="283">
        <f t="shared" si="30"/>
        <v>60.211267605633807</v>
      </c>
      <c r="BB112" s="234">
        <v>91.566265060240966</v>
      </c>
      <c r="BC112" s="20">
        <v>2003</v>
      </c>
      <c r="BD112" s="263" t="s">
        <v>556</v>
      </c>
      <c r="BE112" s="261" t="s">
        <v>556</v>
      </c>
      <c r="BF112" s="259" t="s">
        <v>556</v>
      </c>
      <c r="BG112" s="256">
        <v>36.915887850467286</v>
      </c>
      <c r="BH112" s="248" t="s">
        <v>556</v>
      </c>
      <c r="BI112" s="249">
        <v>47.804878048780488</v>
      </c>
      <c r="BJ112" s="308" t="s">
        <v>556</v>
      </c>
      <c r="BK112" s="307" t="s">
        <v>750</v>
      </c>
      <c r="BL112" s="319" t="s">
        <v>1728</v>
      </c>
      <c r="BM112" s="320" t="s">
        <v>556</v>
      </c>
      <c r="BN112" s="321" t="s">
        <v>1847</v>
      </c>
      <c r="BO112" s="145" t="s">
        <v>556</v>
      </c>
      <c r="BP112" s="14">
        <v>2</v>
      </c>
      <c r="BQ112" s="14" t="s">
        <v>557</v>
      </c>
      <c r="BR112" s="72"/>
    </row>
    <row r="113" spans="1:70" s="56" customFormat="1" ht="13.95" customHeight="1" x14ac:dyDescent="0.3">
      <c r="A113" s="56" t="s">
        <v>461</v>
      </c>
      <c r="B113" s="77" t="s">
        <v>464</v>
      </c>
      <c r="C113" s="74" t="s">
        <v>390</v>
      </c>
      <c r="D113" s="58">
        <v>1</v>
      </c>
      <c r="E113" s="59"/>
      <c r="F113" s="60" t="s">
        <v>456</v>
      </c>
      <c r="G113" s="75" t="s">
        <v>389</v>
      </c>
      <c r="H113" s="75" t="s">
        <v>390</v>
      </c>
      <c r="I113" s="76" t="s">
        <v>390</v>
      </c>
      <c r="J113" s="63" t="s">
        <v>1906</v>
      </c>
      <c r="K113" s="99" t="s">
        <v>1583</v>
      </c>
      <c r="L113" s="130">
        <v>499441333</v>
      </c>
      <c r="M113" s="109" t="s">
        <v>537</v>
      </c>
      <c r="N113" s="12" t="s">
        <v>1582</v>
      </c>
      <c r="O113" s="100" t="s">
        <v>1905</v>
      </c>
      <c r="P113" s="130">
        <v>499404730</v>
      </c>
      <c r="Q113" s="84"/>
      <c r="S113" s="105"/>
      <c r="T113" s="112"/>
      <c r="U113" s="172">
        <v>0</v>
      </c>
      <c r="V113" s="135">
        <f t="shared" si="17"/>
        <v>0</v>
      </c>
      <c r="W113" s="173">
        <f t="shared" si="18"/>
        <v>0</v>
      </c>
      <c r="X113" s="69">
        <f>1308800+56000</f>
        <v>1364800</v>
      </c>
      <c r="Y113" s="48">
        <f t="shared" si="19"/>
        <v>305.32438478747201</v>
      </c>
      <c r="Z113" s="137">
        <f t="shared" si="20"/>
        <v>1691.8692961548527</v>
      </c>
      <c r="AA113" s="69">
        <v>0</v>
      </c>
      <c r="AB113" s="48">
        <f t="shared" si="21"/>
        <v>0</v>
      </c>
      <c r="AC113" s="137">
        <f t="shared" si="22"/>
        <v>0</v>
      </c>
      <c r="AD113" s="70">
        <f t="shared" si="23"/>
        <v>1364800</v>
      </c>
      <c r="AE113" s="71">
        <f t="shared" si="24"/>
        <v>305.32438478747201</v>
      </c>
      <c r="AF113" s="193">
        <f t="shared" si="25"/>
        <v>1691.8692961548527</v>
      </c>
      <c r="AG113" s="185">
        <f t="shared" si="26"/>
        <v>3.1139910559459705E-3</v>
      </c>
      <c r="AH113" s="180">
        <f t="shared" si="31"/>
        <v>7.7863989046097672E-3</v>
      </c>
      <c r="AI113" s="189">
        <v>4470</v>
      </c>
      <c r="AJ113" s="126">
        <v>806.68169999999998</v>
      </c>
      <c r="AK113" s="150">
        <v>860</v>
      </c>
      <c r="AL113" s="221">
        <v>670</v>
      </c>
      <c r="AM113" s="216">
        <v>32.810810810810807</v>
      </c>
      <c r="AN113" s="213">
        <v>0.71804691239827667</v>
      </c>
      <c r="AO113" s="128">
        <v>87.656000000000006</v>
      </c>
      <c r="AP113" s="134">
        <v>35.055999999999997</v>
      </c>
      <c r="AQ113" s="224">
        <f t="shared" si="28"/>
        <v>0.86276780544296472</v>
      </c>
      <c r="AR113" s="158">
        <v>5181</v>
      </c>
      <c r="AS113" s="229">
        <f t="shared" si="29"/>
        <v>0.96129032258064517</v>
      </c>
      <c r="AT113" s="230">
        <v>4650</v>
      </c>
      <c r="AU113" s="203">
        <v>15.324384787472036</v>
      </c>
      <c r="AV113" s="204">
        <v>64.161073825503351</v>
      </c>
      <c r="AW113" s="205">
        <v>20.514541387024611</v>
      </c>
      <c r="AX113" s="123">
        <v>5.2436999999999996</v>
      </c>
      <c r="AY113" s="281">
        <v>1.3555787278415017</v>
      </c>
      <c r="AZ113" s="282">
        <v>46.402502606882166</v>
      </c>
      <c r="BA113" s="283">
        <f t="shared" si="30"/>
        <v>52.24191866527633</v>
      </c>
      <c r="BB113" s="234">
        <v>50.242130750605327</v>
      </c>
      <c r="BC113" s="120" t="s">
        <v>1811</v>
      </c>
      <c r="BD113" s="263" t="s">
        <v>556</v>
      </c>
      <c r="BE113" s="261" t="s">
        <v>556</v>
      </c>
      <c r="BF113" s="259" t="s">
        <v>556</v>
      </c>
      <c r="BG113" s="256">
        <v>85.892776010904143</v>
      </c>
      <c r="BH113" s="248" t="s">
        <v>556</v>
      </c>
      <c r="BI113" s="249">
        <v>86.287625418060202</v>
      </c>
      <c r="BJ113" s="308" t="s">
        <v>556</v>
      </c>
      <c r="BK113" s="307" t="s">
        <v>556</v>
      </c>
      <c r="BL113" s="319" t="s">
        <v>1728</v>
      </c>
      <c r="BM113" s="320" t="s">
        <v>556</v>
      </c>
      <c r="BN113" s="321" t="s">
        <v>1907</v>
      </c>
      <c r="BO113" s="145" t="s">
        <v>556</v>
      </c>
      <c r="BP113" s="14" t="s">
        <v>556</v>
      </c>
      <c r="BQ113" s="14" t="s">
        <v>556</v>
      </c>
    </row>
    <row r="114" spans="1:70" s="56" customFormat="1" ht="13.95" customHeight="1" x14ac:dyDescent="0.3">
      <c r="A114" s="3" t="s">
        <v>460</v>
      </c>
      <c r="B114" s="73" t="s">
        <v>464</v>
      </c>
      <c r="C114" s="74" t="s">
        <v>31</v>
      </c>
      <c r="D114" s="58">
        <v>21</v>
      </c>
      <c r="E114" s="59" t="s">
        <v>1008</v>
      </c>
      <c r="F114" s="60" t="s">
        <v>452</v>
      </c>
      <c r="G114" s="75" t="s">
        <v>11</v>
      </c>
      <c r="H114" s="75" t="s">
        <v>11</v>
      </c>
      <c r="I114" s="76" t="s">
        <v>11</v>
      </c>
      <c r="J114" s="117" t="s">
        <v>1909</v>
      </c>
      <c r="K114" s="100" t="s">
        <v>1908</v>
      </c>
      <c r="L114" s="131">
        <v>495707111</v>
      </c>
      <c r="M114" s="109" t="s">
        <v>829</v>
      </c>
      <c r="N114" s="12" t="s">
        <v>828</v>
      </c>
      <c r="O114" s="100" t="s">
        <v>827</v>
      </c>
      <c r="P114" s="131">
        <v>495707423</v>
      </c>
      <c r="Q114" s="67"/>
      <c r="R114" s="12"/>
      <c r="S114" s="100"/>
      <c r="T114" s="66"/>
      <c r="U114" s="172">
        <v>0</v>
      </c>
      <c r="V114" s="135">
        <f t="shared" si="17"/>
        <v>0</v>
      </c>
      <c r="W114" s="173">
        <f t="shared" si="18"/>
        <v>0</v>
      </c>
      <c r="X114" s="69">
        <f>2934320+2204990</f>
        <v>5139310</v>
      </c>
      <c r="Y114" s="48">
        <f t="shared" si="19"/>
        <v>55.326242585395789</v>
      </c>
      <c r="Z114" s="137">
        <f t="shared" si="20"/>
        <v>486.27985807918782</v>
      </c>
      <c r="AA114" s="69">
        <v>3000000</v>
      </c>
      <c r="AB114" s="48">
        <f t="shared" si="21"/>
        <v>32.295916719596086</v>
      </c>
      <c r="AC114" s="137">
        <f t="shared" si="22"/>
        <v>283.85903443021795</v>
      </c>
      <c r="AD114" s="70">
        <f t="shared" si="23"/>
        <v>8139310</v>
      </c>
      <c r="AE114" s="71">
        <f t="shared" si="24"/>
        <v>87.622159304991868</v>
      </c>
      <c r="AF114" s="193">
        <f t="shared" si="25"/>
        <v>770.13889250940576</v>
      </c>
      <c r="AG114" s="185">
        <f t="shared" si="26"/>
        <v>8.0357175472397591E-4</v>
      </c>
      <c r="AH114" s="180">
        <f t="shared" si="31"/>
        <v>3.1240095109973305E-3</v>
      </c>
      <c r="AI114" s="189">
        <v>92891</v>
      </c>
      <c r="AJ114" s="126">
        <v>10568.626099999999</v>
      </c>
      <c r="AK114" s="150">
        <v>15613</v>
      </c>
      <c r="AL114" s="221">
        <v>10908</v>
      </c>
      <c r="AM114" s="216">
        <v>24.972322866344605</v>
      </c>
      <c r="AN114" s="213">
        <v>0.22109117708021464</v>
      </c>
      <c r="AO114" s="128">
        <v>2025.7829999999999</v>
      </c>
      <c r="AP114" s="134">
        <v>521.08100000000002</v>
      </c>
      <c r="AQ114" s="224">
        <f t="shared" si="28"/>
        <v>0.92968163575767893</v>
      </c>
      <c r="AR114" s="158">
        <v>99917</v>
      </c>
      <c r="AS114" s="229">
        <f t="shared" si="29"/>
        <v>1.852743482856972</v>
      </c>
      <c r="AT114" s="230">
        <v>50137</v>
      </c>
      <c r="AU114" s="203">
        <v>14.367376817990978</v>
      </c>
      <c r="AV114" s="204">
        <v>63.214950856380064</v>
      </c>
      <c r="AW114" s="205">
        <v>22.417672325628963</v>
      </c>
      <c r="AX114" s="123">
        <v>5.5377000000000001</v>
      </c>
      <c r="AY114" s="281">
        <v>1.1254056830652128</v>
      </c>
      <c r="AZ114" s="282">
        <v>23.358005090009108</v>
      </c>
      <c r="BA114" s="283">
        <f t="shared" si="30"/>
        <v>75.516589226925674</v>
      </c>
      <c r="BB114" s="234">
        <v>21.300715990453458</v>
      </c>
      <c r="BC114" s="19">
        <v>2000</v>
      </c>
      <c r="BD114" s="263" t="s">
        <v>556</v>
      </c>
      <c r="BE114" s="261" t="s">
        <v>556</v>
      </c>
      <c r="BF114" s="259" t="s">
        <v>556</v>
      </c>
      <c r="BG114" s="256">
        <v>96.67133146741304</v>
      </c>
      <c r="BH114" s="248" t="s">
        <v>556</v>
      </c>
      <c r="BI114" s="249">
        <v>81.847773717052306</v>
      </c>
      <c r="BJ114" s="311" t="s">
        <v>1719</v>
      </c>
      <c r="BK114" s="307" t="s">
        <v>556</v>
      </c>
      <c r="BL114" s="319" t="s">
        <v>1777</v>
      </c>
      <c r="BM114" s="320" t="s">
        <v>2503</v>
      </c>
      <c r="BN114" s="321" t="s">
        <v>2491</v>
      </c>
      <c r="BO114" s="21" t="s">
        <v>556</v>
      </c>
      <c r="BP114" s="10">
        <v>9</v>
      </c>
      <c r="BQ114" s="10" t="s">
        <v>556</v>
      </c>
      <c r="BR114" s="3"/>
    </row>
    <row r="115" spans="1:70" s="56" customFormat="1" ht="13.95" customHeight="1" x14ac:dyDescent="0.3">
      <c r="A115" s="56" t="s">
        <v>459</v>
      </c>
      <c r="B115" s="57" t="s">
        <v>462</v>
      </c>
      <c r="C115" s="55" t="s">
        <v>32</v>
      </c>
      <c r="D115" s="58">
        <v>1</v>
      </c>
      <c r="E115" s="59"/>
      <c r="F115" s="60" t="s">
        <v>452</v>
      </c>
      <c r="G115" s="61" t="s">
        <v>11</v>
      </c>
      <c r="H115" s="61" t="s">
        <v>16</v>
      </c>
      <c r="I115" s="62" t="s">
        <v>16</v>
      </c>
      <c r="J115" s="63" t="s">
        <v>1910</v>
      </c>
      <c r="K115" s="99" t="s">
        <v>830</v>
      </c>
      <c r="L115" s="130">
        <v>498773800</v>
      </c>
      <c r="M115" s="109" t="s">
        <v>564</v>
      </c>
      <c r="N115" s="12" t="s">
        <v>831</v>
      </c>
      <c r="O115" s="100"/>
      <c r="P115" s="131"/>
      <c r="Q115" s="67"/>
      <c r="R115" s="68"/>
      <c r="S115" s="99"/>
      <c r="T115" s="65"/>
      <c r="U115" s="170">
        <v>360000</v>
      </c>
      <c r="V115" s="48">
        <f t="shared" si="17"/>
        <v>1884.8167539267015</v>
      </c>
      <c r="W115" s="171">
        <f t="shared" si="18"/>
        <v>1303.0589308401472</v>
      </c>
      <c r="X115" s="69">
        <v>0</v>
      </c>
      <c r="Y115" s="48">
        <f t="shared" si="19"/>
        <v>0</v>
      </c>
      <c r="Z115" s="137">
        <f t="shared" si="20"/>
        <v>0</v>
      </c>
      <c r="AA115" s="69">
        <v>0</v>
      </c>
      <c r="AB115" s="48">
        <f t="shared" si="21"/>
        <v>0</v>
      </c>
      <c r="AC115" s="137">
        <f t="shared" si="22"/>
        <v>0</v>
      </c>
      <c r="AD115" s="70">
        <f t="shared" si="23"/>
        <v>360000</v>
      </c>
      <c r="AE115" s="71">
        <f t="shared" si="24"/>
        <v>1884.8167539267015</v>
      </c>
      <c r="AF115" s="193">
        <f t="shared" si="25"/>
        <v>1303.0589308401472</v>
      </c>
      <c r="AG115" s="185">
        <f t="shared" si="26"/>
        <v>3.3457249070631967E-2</v>
      </c>
      <c r="AH115" s="180">
        <f t="shared" si="31"/>
        <v>0.61538461538461542</v>
      </c>
      <c r="AI115" s="189">
        <v>191</v>
      </c>
      <c r="AJ115" s="125">
        <v>276.27300000000002</v>
      </c>
      <c r="AK115" s="149">
        <v>75</v>
      </c>
      <c r="AL115" s="221">
        <v>55</v>
      </c>
      <c r="AM115" s="216">
        <v>92.753623188405797</v>
      </c>
      <c r="AN115" s="213">
        <v>3.4883720930232558</v>
      </c>
      <c r="AO115" s="127">
        <v>2.1520000000000001</v>
      </c>
      <c r="AP115" s="133">
        <v>0.11700000000000001</v>
      </c>
      <c r="AQ115" s="224">
        <f t="shared" si="28"/>
        <v>1.1104651162790697</v>
      </c>
      <c r="AR115" s="158">
        <v>172</v>
      </c>
      <c r="AS115" s="229">
        <f t="shared" si="29"/>
        <v>0.75196850393700787</v>
      </c>
      <c r="AT115" s="230">
        <v>254</v>
      </c>
      <c r="AU115" s="203">
        <v>10.471204188481675</v>
      </c>
      <c r="AV115" s="204">
        <v>71.204188481675388</v>
      </c>
      <c r="AW115" s="205">
        <v>18.32460732984293</v>
      </c>
      <c r="AX115" s="123">
        <v>7.5187999999999997</v>
      </c>
      <c r="AY115" s="281">
        <v>4.395604395604396</v>
      </c>
      <c r="AZ115" s="282">
        <v>31.868131868131865</v>
      </c>
      <c r="BA115" s="283">
        <f t="shared" si="30"/>
        <v>63.736263736263737</v>
      </c>
      <c r="BB115" s="234">
        <v>95.65217391304347</v>
      </c>
      <c r="BC115" s="20">
        <v>2006</v>
      </c>
      <c r="BD115" s="263" t="s">
        <v>556</v>
      </c>
      <c r="BE115" s="261" t="s">
        <v>556</v>
      </c>
      <c r="BF115" s="260" t="s">
        <v>557</v>
      </c>
      <c r="BG115" s="256">
        <v>24.598930481283425</v>
      </c>
      <c r="BH115" s="248" t="s">
        <v>556</v>
      </c>
      <c r="BI115" s="249">
        <v>75.287356321839084</v>
      </c>
      <c r="BJ115" s="309" t="s">
        <v>557</v>
      </c>
      <c r="BK115" s="307" t="s">
        <v>557</v>
      </c>
      <c r="BL115" s="319" t="s">
        <v>1728</v>
      </c>
      <c r="BM115" s="320" t="s">
        <v>557</v>
      </c>
      <c r="BN115" s="321" t="s">
        <v>1838</v>
      </c>
      <c r="BO115" s="145" t="s">
        <v>557</v>
      </c>
      <c r="BP115" s="14" t="s">
        <v>556</v>
      </c>
      <c r="BQ115" s="14" t="s">
        <v>557</v>
      </c>
    </row>
    <row r="116" spans="1:70" s="56" customFormat="1" ht="13.95" customHeight="1" x14ac:dyDescent="0.3">
      <c r="A116" s="56" t="s">
        <v>461</v>
      </c>
      <c r="B116" s="77" t="s">
        <v>464</v>
      </c>
      <c r="C116" s="74" t="s">
        <v>249</v>
      </c>
      <c r="D116" s="58">
        <v>6</v>
      </c>
      <c r="E116" s="59" t="s">
        <v>649</v>
      </c>
      <c r="F116" s="60" t="s">
        <v>454</v>
      </c>
      <c r="G116" s="75" t="s">
        <v>226</v>
      </c>
      <c r="H116" s="75" t="s">
        <v>249</v>
      </c>
      <c r="I116" s="76" t="s">
        <v>249</v>
      </c>
      <c r="J116" s="63" t="s">
        <v>1913</v>
      </c>
      <c r="K116" s="99" t="s">
        <v>1912</v>
      </c>
      <c r="L116" s="130">
        <v>491485053</v>
      </c>
      <c r="M116" s="109" t="s">
        <v>537</v>
      </c>
      <c r="N116" s="12" t="s">
        <v>1289</v>
      </c>
      <c r="O116" s="100" t="s">
        <v>1290</v>
      </c>
      <c r="P116" s="131" t="s">
        <v>1911</v>
      </c>
      <c r="Q116" s="67"/>
      <c r="R116" s="68"/>
      <c r="S116" s="99"/>
      <c r="T116" s="65"/>
      <c r="U116" s="172">
        <v>0</v>
      </c>
      <c r="V116" s="135">
        <f t="shared" si="17"/>
        <v>0</v>
      </c>
      <c r="W116" s="173">
        <f t="shared" si="18"/>
        <v>0</v>
      </c>
      <c r="X116" s="69">
        <f>683593+231500</f>
        <v>915093</v>
      </c>
      <c r="Y116" s="48">
        <f t="shared" si="19"/>
        <v>149.84329457999019</v>
      </c>
      <c r="Z116" s="137">
        <f t="shared" si="20"/>
        <v>415.26163293957973</v>
      </c>
      <c r="AA116" s="69">
        <v>500000</v>
      </c>
      <c r="AB116" s="48">
        <f t="shared" si="21"/>
        <v>81.873260193220901</v>
      </c>
      <c r="AC116" s="137">
        <f t="shared" si="22"/>
        <v>226.89586355680774</v>
      </c>
      <c r="AD116" s="70">
        <f t="shared" si="23"/>
        <v>1415093</v>
      </c>
      <c r="AE116" s="71">
        <f t="shared" si="24"/>
        <v>231.71655477321107</v>
      </c>
      <c r="AF116" s="193">
        <f t="shared" si="25"/>
        <v>642.15749649638747</v>
      </c>
      <c r="AG116" s="185">
        <f t="shared" si="26"/>
        <v>2.8597269797003043E-3</v>
      </c>
      <c r="AH116" s="180">
        <f t="shared" si="31"/>
        <v>8.5765811085184405E-3</v>
      </c>
      <c r="AI116" s="189">
        <v>6107</v>
      </c>
      <c r="AJ116" s="126">
        <v>2203.6541000000002</v>
      </c>
      <c r="AK116" s="150">
        <v>1881</v>
      </c>
      <c r="AL116" s="221">
        <v>1469</v>
      </c>
      <c r="AM116" s="216">
        <v>61.862348178137651</v>
      </c>
      <c r="AN116" s="213">
        <v>4.3743641912512716</v>
      </c>
      <c r="AO116" s="128">
        <v>98.966999999999999</v>
      </c>
      <c r="AP116" s="134">
        <v>32.999000000000002</v>
      </c>
      <c r="AQ116" s="224">
        <f t="shared" si="28"/>
        <v>0.91793176010822186</v>
      </c>
      <c r="AR116" s="158">
        <v>6653</v>
      </c>
      <c r="AS116" s="229">
        <f t="shared" si="29"/>
        <v>0.74339622641509429</v>
      </c>
      <c r="AT116" s="230">
        <v>8215</v>
      </c>
      <c r="AU116" s="203">
        <v>14.114950057311281</v>
      </c>
      <c r="AV116" s="204">
        <v>62.240052398886533</v>
      </c>
      <c r="AW116" s="205">
        <v>23.644997543802194</v>
      </c>
      <c r="AX116" s="123">
        <v>3.7219000000000002</v>
      </c>
      <c r="AY116" s="281">
        <v>1.6032064128256511</v>
      </c>
      <c r="AZ116" s="282">
        <v>42.324649298597194</v>
      </c>
      <c r="BA116" s="283">
        <f t="shared" si="30"/>
        <v>56.072144288577149</v>
      </c>
      <c r="BB116" s="234">
        <v>54.991948470209337</v>
      </c>
      <c r="BC116" s="20">
        <v>2005</v>
      </c>
      <c r="BD116" s="263" t="s">
        <v>556</v>
      </c>
      <c r="BE116" s="261" t="s">
        <v>556</v>
      </c>
      <c r="BF116" s="259" t="s">
        <v>556</v>
      </c>
      <c r="BG116" s="256">
        <v>63.355994030840655</v>
      </c>
      <c r="BH116" s="248" t="s">
        <v>556</v>
      </c>
      <c r="BI116" s="249">
        <v>57.859592131384233</v>
      </c>
      <c r="BJ116" s="311" t="s">
        <v>1915</v>
      </c>
      <c r="BK116" s="307" t="s">
        <v>556</v>
      </c>
      <c r="BL116" s="319" t="s">
        <v>1728</v>
      </c>
      <c r="BM116" s="320" t="s">
        <v>556</v>
      </c>
      <c r="BN116" s="321" t="s">
        <v>1914</v>
      </c>
      <c r="BO116" s="145" t="s">
        <v>556</v>
      </c>
      <c r="BP116" s="14">
        <v>3</v>
      </c>
      <c r="BQ116" s="14" t="s">
        <v>556</v>
      </c>
    </row>
    <row r="117" spans="1:70" s="56" customFormat="1" ht="13.95" customHeight="1" x14ac:dyDescent="0.3">
      <c r="A117" s="56" t="s">
        <v>459</v>
      </c>
      <c r="B117" s="57" t="s">
        <v>462</v>
      </c>
      <c r="C117" s="55" t="s">
        <v>324</v>
      </c>
      <c r="D117" s="58">
        <v>3</v>
      </c>
      <c r="E117" s="59" t="s">
        <v>693</v>
      </c>
      <c r="F117" s="60" t="s">
        <v>455</v>
      </c>
      <c r="G117" s="61" t="s">
        <v>529</v>
      </c>
      <c r="H117" s="61" t="s">
        <v>529</v>
      </c>
      <c r="I117" s="62" t="s">
        <v>529</v>
      </c>
      <c r="J117" s="63" t="s">
        <v>1916</v>
      </c>
      <c r="K117" s="99" t="s">
        <v>1429</v>
      </c>
      <c r="L117" s="130">
        <v>494323822</v>
      </c>
      <c r="M117" s="109" t="s">
        <v>537</v>
      </c>
      <c r="N117" s="12" t="s">
        <v>1430</v>
      </c>
      <c r="O117" s="100"/>
      <c r="P117" s="131">
        <v>724179125</v>
      </c>
      <c r="Q117" s="67"/>
      <c r="R117" s="68"/>
      <c r="S117" s="99"/>
      <c r="T117" s="112"/>
      <c r="U117" s="170">
        <v>0</v>
      </c>
      <c r="V117" s="48">
        <f t="shared" si="17"/>
        <v>0</v>
      </c>
      <c r="W117" s="171">
        <f t="shared" si="18"/>
        <v>0</v>
      </c>
      <c r="X117" s="69">
        <v>80400</v>
      </c>
      <c r="Y117" s="48">
        <f t="shared" si="19"/>
        <v>237.8698224852071</v>
      </c>
      <c r="Z117" s="137">
        <f t="shared" si="20"/>
        <v>156.72285492902148</v>
      </c>
      <c r="AA117" s="69">
        <v>0</v>
      </c>
      <c r="AB117" s="48">
        <f t="shared" si="21"/>
        <v>0</v>
      </c>
      <c r="AC117" s="137">
        <f t="shared" si="22"/>
        <v>0</v>
      </c>
      <c r="AD117" s="70">
        <f t="shared" si="23"/>
        <v>80400</v>
      </c>
      <c r="AE117" s="71">
        <f t="shared" si="24"/>
        <v>237.8698224852071</v>
      </c>
      <c r="AF117" s="193">
        <f t="shared" si="25"/>
        <v>156.72285492902148</v>
      </c>
      <c r="AG117" s="185">
        <f t="shared" si="26"/>
        <v>2.5625498007968129E-3</v>
      </c>
      <c r="AH117" s="180">
        <f t="shared" si="31"/>
        <v>4.4766146993318488E-3</v>
      </c>
      <c r="AI117" s="189">
        <v>338</v>
      </c>
      <c r="AJ117" s="125">
        <v>513.00750000000005</v>
      </c>
      <c r="AK117" s="149">
        <v>153</v>
      </c>
      <c r="AL117" s="221">
        <v>110</v>
      </c>
      <c r="AM117" s="216">
        <v>100</v>
      </c>
      <c r="AN117" s="213">
        <v>1.4184397163120568</v>
      </c>
      <c r="AO117" s="127">
        <v>6.2750000000000004</v>
      </c>
      <c r="AP117" s="133">
        <v>3.5920000000000001</v>
      </c>
      <c r="AQ117" s="224">
        <f t="shared" si="28"/>
        <v>1.1818181818181819</v>
      </c>
      <c r="AR117" s="158">
        <v>286</v>
      </c>
      <c r="AS117" s="229">
        <f t="shared" si="29"/>
        <v>0.59507042253521125</v>
      </c>
      <c r="AT117" s="230">
        <v>568</v>
      </c>
      <c r="AU117" s="203">
        <v>18.639053254437872</v>
      </c>
      <c r="AV117" s="204">
        <v>64.792899408284029</v>
      </c>
      <c r="AW117" s="205">
        <v>16.568047337278109</v>
      </c>
      <c r="AX117" s="123">
        <v>4.9326999999999996</v>
      </c>
      <c r="AY117" s="281">
        <v>2.8368794326241136</v>
      </c>
      <c r="AZ117" s="282">
        <v>47.5177304964539</v>
      </c>
      <c r="BA117" s="283">
        <f t="shared" si="30"/>
        <v>49.645390070921984</v>
      </c>
      <c r="BB117" s="234">
        <v>97.468354430379748</v>
      </c>
      <c r="BC117" s="20">
        <v>2001</v>
      </c>
      <c r="BD117" s="263" t="s">
        <v>556</v>
      </c>
      <c r="BE117" s="261" t="s">
        <v>556</v>
      </c>
      <c r="BF117" s="260" t="s">
        <v>557</v>
      </c>
      <c r="BG117" s="256">
        <v>16.279069767441861</v>
      </c>
      <c r="BH117" s="248" t="s">
        <v>556</v>
      </c>
      <c r="BI117" s="249">
        <v>61.280487804878049</v>
      </c>
      <c r="BJ117" s="309" t="s">
        <v>557</v>
      </c>
      <c r="BK117" s="307" t="s">
        <v>557</v>
      </c>
      <c r="BL117" s="319" t="s">
        <v>1728</v>
      </c>
      <c r="BM117" s="320" t="s">
        <v>557</v>
      </c>
      <c r="BN117" s="321" t="s">
        <v>1838</v>
      </c>
      <c r="BO117" s="145" t="s">
        <v>557</v>
      </c>
      <c r="BP117" s="14" t="s">
        <v>557</v>
      </c>
      <c r="BQ117" s="14" t="s">
        <v>557</v>
      </c>
    </row>
    <row r="118" spans="1:70" s="56" customFormat="1" ht="13.95" customHeight="1" x14ac:dyDescent="0.3">
      <c r="A118" s="56" t="s">
        <v>459</v>
      </c>
      <c r="B118" s="57" t="s">
        <v>462</v>
      </c>
      <c r="C118" s="55" t="s">
        <v>408</v>
      </c>
      <c r="D118" s="58">
        <v>2</v>
      </c>
      <c r="E118" s="59" t="s">
        <v>726</v>
      </c>
      <c r="F118" s="60" t="s">
        <v>456</v>
      </c>
      <c r="G118" s="61" t="s">
        <v>531</v>
      </c>
      <c r="H118" s="61" t="s">
        <v>531</v>
      </c>
      <c r="I118" s="62" t="s">
        <v>531</v>
      </c>
      <c r="J118" s="63" t="s">
        <v>1918</v>
      </c>
      <c r="K118" s="99" t="s">
        <v>1917</v>
      </c>
      <c r="L118" s="130">
        <v>499694413</v>
      </c>
      <c r="M118" s="109" t="s">
        <v>564</v>
      </c>
      <c r="N118" s="12" t="s">
        <v>1584</v>
      </c>
      <c r="O118" s="100" t="s">
        <v>1585</v>
      </c>
      <c r="P118" s="131">
        <v>603220949</v>
      </c>
      <c r="Q118" s="82"/>
      <c r="R118" s="72"/>
      <c r="S118" s="115"/>
      <c r="T118" s="112"/>
      <c r="U118" s="170">
        <v>70000</v>
      </c>
      <c r="V118" s="48">
        <f t="shared" si="17"/>
        <v>318.18181818181819</v>
      </c>
      <c r="W118" s="171">
        <f t="shared" si="18"/>
        <v>122.7014942587971</v>
      </c>
      <c r="X118" s="69">
        <v>96400</v>
      </c>
      <c r="Y118" s="48">
        <f t="shared" si="19"/>
        <v>438.18181818181819</v>
      </c>
      <c r="Z118" s="137">
        <f t="shared" si="20"/>
        <v>168.9774863792577</v>
      </c>
      <c r="AA118" s="69">
        <v>0</v>
      </c>
      <c r="AB118" s="48">
        <f t="shared" si="21"/>
        <v>0</v>
      </c>
      <c r="AC118" s="137">
        <f t="shared" si="22"/>
        <v>0</v>
      </c>
      <c r="AD118" s="70">
        <f t="shared" si="23"/>
        <v>166400</v>
      </c>
      <c r="AE118" s="71">
        <f t="shared" si="24"/>
        <v>756.36363636363637</v>
      </c>
      <c r="AF118" s="193">
        <f t="shared" si="25"/>
        <v>291.67898063805478</v>
      </c>
      <c r="AG118" s="185">
        <f t="shared" si="26"/>
        <v>8.9031567683253085E-3</v>
      </c>
      <c r="AH118" s="180">
        <f t="shared" si="31"/>
        <v>6.2674199623352161E-2</v>
      </c>
      <c r="AI118" s="189">
        <v>220</v>
      </c>
      <c r="AJ118" s="125">
        <v>570.49019999999996</v>
      </c>
      <c r="AK118" s="149">
        <v>86</v>
      </c>
      <c r="AL118" s="221">
        <v>58</v>
      </c>
      <c r="AM118" s="216">
        <v>92.307692307692307</v>
      </c>
      <c r="AN118" s="213">
        <v>16.304347826086953</v>
      </c>
      <c r="AO118" s="127">
        <v>3.738</v>
      </c>
      <c r="AP118" s="133">
        <v>0.53100000000000003</v>
      </c>
      <c r="AQ118" s="224">
        <f t="shared" si="28"/>
        <v>1.0328638497652582</v>
      </c>
      <c r="AR118" s="158">
        <v>213</v>
      </c>
      <c r="AS118" s="229">
        <f t="shared" si="29"/>
        <v>0.57742782152230976</v>
      </c>
      <c r="AT118" s="230">
        <v>381</v>
      </c>
      <c r="AU118" s="203">
        <v>14.09090909090909</v>
      </c>
      <c r="AV118" s="204">
        <v>66.36363636363636</v>
      </c>
      <c r="AW118" s="205">
        <v>19.545454545454547</v>
      </c>
      <c r="AX118" s="123">
        <v>5.4054000000000002</v>
      </c>
      <c r="AY118" s="281">
        <v>18.518518518518519</v>
      </c>
      <c r="AZ118" s="282">
        <v>34.567901234567898</v>
      </c>
      <c r="BA118" s="283">
        <f t="shared" si="30"/>
        <v>46.913580246913583</v>
      </c>
      <c r="BB118" s="234">
        <v>92.307692307692307</v>
      </c>
      <c r="BC118" s="20">
        <v>2017</v>
      </c>
      <c r="BD118" s="263" t="s">
        <v>556</v>
      </c>
      <c r="BE118" s="262" t="s">
        <v>557</v>
      </c>
      <c r="BF118" s="260" t="s">
        <v>557</v>
      </c>
      <c r="BG118" s="256">
        <v>0</v>
      </c>
      <c r="BH118" s="254" t="s">
        <v>557</v>
      </c>
      <c r="BI118" s="249">
        <v>0</v>
      </c>
      <c r="BJ118" s="309" t="s">
        <v>557</v>
      </c>
      <c r="BK118" s="307" t="s">
        <v>557</v>
      </c>
      <c r="BL118" s="319" t="s">
        <v>1728</v>
      </c>
      <c r="BM118" s="320" t="s">
        <v>556</v>
      </c>
      <c r="BN118" s="321" t="s">
        <v>1838</v>
      </c>
      <c r="BO118" s="145" t="s">
        <v>556</v>
      </c>
      <c r="BP118" s="14" t="s">
        <v>557</v>
      </c>
      <c r="BQ118" s="14" t="s">
        <v>557</v>
      </c>
    </row>
    <row r="119" spans="1:70" s="56" customFormat="1" ht="13.95" customHeight="1" x14ac:dyDescent="0.3">
      <c r="A119" s="56" t="s">
        <v>459</v>
      </c>
      <c r="B119" s="57" t="s">
        <v>462</v>
      </c>
      <c r="C119" s="55" t="s">
        <v>33</v>
      </c>
      <c r="D119" s="58">
        <v>1</v>
      </c>
      <c r="E119" s="59"/>
      <c r="F119" s="60" t="s">
        <v>452</v>
      </c>
      <c r="G119" s="61" t="s">
        <v>7</v>
      </c>
      <c r="H119" s="61" t="s">
        <v>7</v>
      </c>
      <c r="I119" s="62" t="s">
        <v>7</v>
      </c>
      <c r="J119" s="63" t="s">
        <v>1921</v>
      </c>
      <c r="K119" s="99" t="s">
        <v>832</v>
      </c>
      <c r="L119" s="130">
        <v>495493536</v>
      </c>
      <c r="M119" s="109" t="s">
        <v>564</v>
      </c>
      <c r="N119" s="12" t="s">
        <v>833</v>
      </c>
      <c r="O119" s="100"/>
      <c r="P119" s="131">
        <v>724184484</v>
      </c>
      <c r="Q119" s="67"/>
      <c r="R119" s="68"/>
      <c r="S119" s="99"/>
      <c r="T119" s="65"/>
      <c r="U119" s="170">
        <f>120062+80913+647769</f>
        <v>848744</v>
      </c>
      <c r="V119" s="48">
        <f t="shared" si="17"/>
        <v>2165.1632653061224</v>
      </c>
      <c r="W119" s="171">
        <f t="shared" si="18"/>
        <v>3283.0692998454674</v>
      </c>
      <c r="X119" s="69">
        <v>92620</v>
      </c>
      <c r="Y119" s="48">
        <f t="shared" si="19"/>
        <v>236.27551020408163</v>
      </c>
      <c r="Z119" s="137">
        <f t="shared" si="20"/>
        <v>358.26807441547413</v>
      </c>
      <c r="AA119" s="69">
        <v>1000000</v>
      </c>
      <c r="AB119" s="48">
        <f t="shared" si="21"/>
        <v>2551.0204081632655</v>
      </c>
      <c r="AC119" s="137">
        <f t="shared" si="22"/>
        <v>3868.1502312186799</v>
      </c>
      <c r="AD119" s="70">
        <f t="shared" si="23"/>
        <v>1941364</v>
      </c>
      <c r="AE119" s="71">
        <f t="shared" si="24"/>
        <v>4952.4591836734689</v>
      </c>
      <c r="AF119" s="193">
        <f t="shared" si="25"/>
        <v>7509.4876054796214</v>
      </c>
      <c r="AG119" s="185">
        <f t="shared" si="26"/>
        <v>0.17901005071461504</v>
      </c>
      <c r="AH119" s="180">
        <f t="shared" si="31"/>
        <v>6.2624645161290324</v>
      </c>
      <c r="AI119" s="189">
        <v>392</v>
      </c>
      <c r="AJ119" s="125">
        <v>258.5215</v>
      </c>
      <c r="AK119" s="149">
        <v>136</v>
      </c>
      <c r="AL119" s="221">
        <v>99</v>
      </c>
      <c r="AM119" s="216">
        <v>94.827586206896555</v>
      </c>
      <c r="AN119" s="213">
        <v>4.225352112676056</v>
      </c>
      <c r="AO119" s="127">
        <v>2.169</v>
      </c>
      <c r="AP119" s="133">
        <v>6.2E-2</v>
      </c>
      <c r="AQ119" s="224">
        <f t="shared" si="28"/>
        <v>1.4904942965779469</v>
      </c>
      <c r="AR119" s="158">
        <v>263</v>
      </c>
      <c r="AS119" s="229">
        <f t="shared" si="29"/>
        <v>1.0425531914893618</v>
      </c>
      <c r="AT119" s="230">
        <v>376</v>
      </c>
      <c r="AU119" s="203">
        <v>16.071428571428573</v>
      </c>
      <c r="AV119" s="204">
        <v>67.857142857142861</v>
      </c>
      <c r="AW119" s="205">
        <v>16.071428571428573</v>
      </c>
      <c r="AX119" s="123">
        <v>6.0606</v>
      </c>
      <c r="AY119" s="281">
        <v>7.6433121019108281</v>
      </c>
      <c r="AZ119" s="282">
        <v>36.942675159235669</v>
      </c>
      <c r="BA119" s="283">
        <f t="shared" si="30"/>
        <v>55.414012738853508</v>
      </c>
      <c r="BB119" s="234">
        <v>53.389830508474581</v>
      </c>
      <c r="BC119" s="20">
        <v>2016</v>
      </c>
      <c r="BD119" s="263" t="s">
        <v>556</v>
      </c>
      <c r="BE119" s="261" t="s">
        <v>556</v>
      </c>
      <c r="BF119" s="259" t="s">
        <v>556</v>
      </c>
      <c r="BG119" s="256">
        <v>96.039603960396036</v>
      </c>
      <c r="BH119" s="248" t="s">
        <v>556</v>
      </c>
      <c r="BI119" s="249">
        <v>74.226804123711347</v>
      </c>
      <c r="BJ119" s="309" t="s">
        <v>557</v>
      </c>
      <c r="BK119" s="307" t="s">
        <v>557</v>
      </c>
      <c r="BL119" s="319" t="s">
        <v>1728</v>
      </c>
      <c r="BM119" s="320" t="s">
        <v>556</v>
      </c>
      <c r="BN119" s="321" t="s">
        <v>1920</v>
      </c>
      <c r="BO119" s="145" t="s">
        <v>557</v>
      </c>
      <c r="BP119" s="14" t="s">
        <v>557</v>
      </c>
      <c r="BQ119" s="14" t="s">
        <v>557</v>
      </c>
    </row>
    <row r="120" spans="1:70" s="56" customFormat="1" ht="13.95" customHeight="1" x14ac:dyDescent="0.3">
      <c r="A120" s="56" t="s">
        <v>459</v>
      </c>
      <c r="B120" s="57" t="s">
        <v>462</v>
      </c>
      <c r="C120" s="55" t="s">
        <v>34</v>
      </c>
      <c r="D120" s="58">
        <v>1</v>
      </c>
      <c r="E120" s="97" t="s">
        <v>608</v>
      </c>
      <c r="F120" s="60" t="s">
        <v>452</v>
      </c>
      <c r="G120" s="61" t="s">
        <v>11</v>
      </c>
      <c r="H120" s="61" t="s">
        <v>11</v>
      </c>
      <c r="I120" s="62" t="s">
        <v>11</v>
      </c>
      <c r="J120" s="63" t="s">
        <v>1919</v>
      </c>
      <c r="K120" s="99" t="s">
        <v>834</v>
      </c>
      <c r="L120" s="130">
        <v>495585556</v>
      </c>
      <c r="M120" s="109" t="s">
        <v>564</v>
      </c>
      <c r="N120" s="12" t="s">
        <v>835</v>
      </c>
      <c r="O120" s="100"/>
      <c r="P120" s="131">
        <v>607078074</v>
      </c>
      <c r="Q120" s="67"/>
      <c r="R120" s="68"/>
      <c r="S120" s="99"/>
      <c r="T120" s="65"/>
      <c r="U120" s="170">
        <v>25000</v>
      </c>
      <c r="V120" s="48">
        <f t="shared" si="17"/>
        <v>113.12217194570135</v>
      </c>
      <c r="W120" s="171">
        <f t="shared" si="18"/>
        <v>116.18369106291811</v>
      </c>
      <c r="X120" s="69">
        <v>0</v>
      </c>
      <c r="Y120" s="48">
        <f t="shared" si="19"/>
        <v>0</v>
      </c>
      <c r="Z120" s="137">
        <f t="shared" si="20"/>
        <v>0</v>
      </c>
      <c r="AA120" s="69">
        <v>0</v>
      </c>
      <c r="AB120" s="48">
        <f t="shared" si="21"/>
        <v>0</v>
      </c>
      <c r="AC120" s="137">
        <f t="shared" si="22"/>
        <v>0</v>
      </c>
      <c r="AD120" s="70">
        <f t="shared" si="23"/>
        <v>25000</v>
      </c>
      <c r="AE120" s="71">
        <f t="shared" si="24"/>
        <v>113.12217194570135</v>
      </c>
      <c r="AF120" s="193">
        <f t="shared" si="25"/>
        <v>116.18369106291811</v>
      </c>
      <c r="AG120" s="185">
        <f t="shared" si="26"/>
        <v>1.5455950540958269E-3</v>
      </c>
      <c r="AH120" s="180">
        <f t="shared" si="31"/>
        <v>3.0284675953967293E-3</v>
      </c>
      <c r="AI120" s="189">
        <v>221</v>
      </c>
      <c r="AJ120" s="125">
        <v>215.1765</v>
      </c>
      <c r="AK120" s="149">
        <v>74</v>
      </c>
      <c r="AL120" s="221">
        <v>51</v>
      </c>
      <c r="AM120" s="216">
        <v>94.520547945205479</v>
      </c>
      <c r="AN120" s="213">
        <v>6.9767441860465116</v>
      </c>
      <c r="AO120" s="127">
        <v>3.2349999999999999</v>
      </c>
      <c r="AP120" s="133">
        <v>1.651</v>
      </c>
      <c r="AQ120" s="224">
        <f t="shared" si="28"/>
        <v>1.1218274111675126</v>
      </c>
      <c r="AR120" s="158">
        <v>197</v>
      </c>
      <c r="AS120" s="229">
        <f t="shared" si="29"/>
        <v>0.92468619246861927</v>
      </c>
      <c r="AT120" s="230">
        <v>239</v>
      </c>
      <c r="AU120" s="203">
        <v>19.909502262443439</v>
      </c>
      <c r="AV120" s="204">
        <v>66.515837104072403</v>
      </c>
      <c r="AW120" s="205">
        <v>13.574660633484163</v>
      </c>
      <c r="AX120" s="123">
        <v>1.3986000000000001</v>
      </c>
      <c r="AY120" s="281">
        <v>9.5238095238095237</v>
      </c>
      <c r="AZ120" s="282">
        <v>30.476190476190478</v>
      </c>
      <c r="BA120" s="283">
        <f t="shared" si="30"/>
        <v>60</v>
      </c>
      <c r="BB120" s="234">
        <v>87.179487179487182</v>
      </c>
      <c r="BC120" s="20">
        <v>2014</v>
      </c>
      <c r="BD120" s="263" t="s">
        <v>556</v>
      </c>
      <c r="BE120" s="261" t="s">
        <v>556</v>
      </c>
      <c r="BF120" s="259" t="s">
        <v>556</v>
      </c>
      <c r="BG120" s="256">
        <v>83.091787439613526</v>
      </c>
      <c r="BH120" s="248" t="s">
        <v>556</v>
      </c>
      <c r="BI120" s="249">
        <v>63.546798029556648</v>
      </c>
      <c r="BJ120" s="309" t="s">
        <v>557</v>
      </c>
      <c r="BK120" s="307" t="s">
        <v>557</v>
      </c>
      <c r="BL120" s="319" t="s">
        <v>557</v>
      </c>
      <c r="BM120" s="320" t="s">
        <v>557</v>
      </c>
      <c r="BN120" s="321" t="s">
        <v>1838</v>
      </c>
      <c r="BO120" s="145" t="s">
        <v>557</v>
      </c>
      <c r="BP120" s="14" t="s">
        <v>557</v>
      </c>
      <c r="BQ120" s="14" t="s">
        <v>557</v>
      </c>
    </row>
    <row r="121" spans="1:70" s="56" customFormat="1" ht="13.95" customHeight="1" x14ac:dyDescent="0.3">
      <c r="A121" s="56" t="s">
        <v>459</v>
      </c>
      <c r="B121" s="57" t="s">
        <v>462</v>
      </c>
      <c r="C121" s="55" t="s">
        <v>250</v>
      </c>
      <c r="D121" s="58">
        <v>1</v>
      </c>
      <c r="E121" s="59"/>
      <c r="F121" s="60" t="s">
        <v>454</v>
      </c>
      <c r="G121" s="61" t="s">
        <v>223</v>
      </c>
      <c r="H121" s="61" t="s">
        <v>223</v>
      </c>
      <c r="I121" s="62" t="s">
        <v>223</v>
      </c>
      <c r="J121" s="63" t="s">
        <v>1923</v>
      </c>
      <c r="K121" s="99" t="s">
        <v>1292</v>
      </c>
      <c r="L121" s="130">
        <v>491582422</v>
      </c>
      <c r="M121" s="109" t="s">
        <v>537</v>
      </c>
      <c r="N121" s="12" t="s">
        <v>1291</v>
      </c>
      <c r="O121" s="100"/>
      <c r="P121" s="131">
        <v>737065129</v>
      </c>
      <c r="Q121" s="67"/>
      <c r="R121" s="68"/>
      <c r="S121" s="99"/>
      <c r="T121" s="65"/>
      <c r="U121" s="170">
        <v>0</v>
      </c>
      <c r="V121" s="48">
        <f t="shared" si="17"/>
        <v>0</v>
      </c>
      <c r="W121" s="171">
        <f t="shared" si="18"/>
        <v>0</v>
      </c>
      <c r="X121" s="69">
        <v>0</v>
      </c>
      <c r="Y121" s="48">
        <f t="shared" si="19"/>
        <v>0</v>
      </c>
      <c r="Z121" s="137">
        <f t="shared" si="20"/>
        <v>0</v>
      </c>
      <c r="AA121" s="69">
        <v>0</v>
      </c>
      <c r="AB121" s="48">
        <f t="shared" si="21"/>
        <v>0</v>
      </c>
      <c r="AC121" s="137">
        <f t="shared" si="22"/>
        <v>0</v>
      </c>
      <c r="AD121" s="70">
        <f t="shared" si="23"/>
        <v>0</v>
      </c>
      <c r="AE121" s="71">
        <f t="shared" si="24"/>
        <v>0</v>
      </c>
      <c r="AF121" s="193">
        <f t="shared" si="25"/>
        <v>0</v>
      </c>
      <c r="AG121" s="185">
        <f t="shared" si="26"/>
        <v>0</v>
      </c>
      <c r="AH121" s="180">
        <f t="shared" si="31"/>
        <v>0</v>
      </c>
      <c r="AI121" s="189">
        <v>180</v>
      </c>
      <c r="AJ121" s="125">
        <v>289.94529999999997</v>
      </c>
      <c r="AK121" s="149">
        <v>67</v>
      </c>
      <c r="AL121" s="221">
        <v>46</v>
      </c>
      <c r="AM121" s="216">
        <v>50</v>
      </c>
      <c r="AN121" s="213">
        <v>6.3157894736842106</v>
      </c>
      <c r="AO121" s="127">
        <v>2.4430000000000001</v>
      </c>
      <c r="AP121" s="133">
        <v>4.4999999999999998E-2</v>
      </c>
      <c r="AQ121" s="224">
        <f t="shared" si="28"/>
        <v>0.86956521739130432</v>
      </c>
      <c r="AR121" s="158">
        <v>207</v>
      </c>
      <c r="AS121" s="229">
        <f t="shared" si="29"/>
        <v>0.24357239512855211</v>
      </c>
      <c r="AT121" s="230">
        <v>739</v>
      </c>
      <c r="AU121" s="203">
        <v>18.333333333333332</v>
      </c>
      <c r="AV121" s="204">
        <v>65</v>
      </c>
      <c r="AW121" s="205">
        <v>16.666666666666664</v>
      </c>
      <c r="AX121" s="123">
        <v>10.077500000000001</v>
      </c>
      <c r="AY121" s="281">
        <v>4.4776119402985071</v>
      </c>
      <c r="AZ121" s="282">
        <v>56.71641791044776</v>
      </c>
      <c r="BA121" s="283">
        <f t="shared" si="30"/>
        <v>38.805970149253739</v>
      </c>
      <c r="BB121" s="234">
        <v>32.876712328767127</v>
      </c>
      <c r="BC121" s="20">
        <v>2010</v>
      </c>
      <c r="BD121" s="263" t="s">
        <v>556</v>
      </c>
      <c r="BE121" s="261" t="s">
        <v>556</v>
      </c>
      <c r="BF121" s="260" t="s">
        <v>557</v>
      </c>
      <c r="BG121" s="256">
        <v>12.972972972972974</v>
      </c>
      <c r="BH121" s="248" t="s">
        <v>556</v>
      </c>
      <c r="BI121" s="249">
        <v>38.509316770186338</v>
      </c>
      <c r="BJ121" s="309" t="s">
        <v>557</v>
      </c>
      <c r="BK121" s="307" t="s">
        <v>557</v>
      </c>
      <c r="BL121" s="319" t="s">
        <v>1728</v>
      </c>
      <c r="BM121" s="320" t="s">
        <v>556</v>
      </c>
      <c r="BN121" s="321" t="s">
        <v>1838</v>
      </c>
      <c r="BO121" s="145" t="s">
        <v>557</v>
      </c>
      <c r="BP121" s="14" t="s">
        <v>557</v>
      </c>
      <c r="BQ121" s="14" t="s">
        <v>556</v>
      </c>
    </row>
    <row r="122" spans="1:70" s="56" customFormat="1" ht="13.95" customHeight="1" x14ac:dyDescent="0.3">
      <c r="A122" s="56" t="s">
        <v>459</v>
      </c>
      <c r="B122" s="57" t="s">
        <v>462</v>
      </c>
      <c r="C122" s="55" t="s">
        <v>325</v>
      </c>
      <c r="D122" s="58">
        <v>1</v>
      </c>
      <c r="E122" s="59"/>
      <c r="F122" s="60" t="s">
        <v>455</v>
      </c>
      <c r="G122" s="61" t="s">
        <v>529</v>
      </c>
      <c r="H122" s="61" t="s">
        <v>529</v>
      </c>
      <c r="I122" s="62" t="s">
        <v>529</v>
      </c>
      <c r="J122" s="63" t="s">
        <v>1922</v>
      </c>
      <c r="K122" s="99" t="s">
        <v>1432</v>
      </c>
      <c r="L122" s="130">
        <v>494547222</v>
      </c>
      <c r="M122" s="109" t="s">
        <v>564</v>
      </c>
      <c r="N122" s="12" t="s">
        <v>1431</v>
      </c>
      <c r="O122" s="100"/>
      <c r="P122" s="131">
        <v>724188397</v>
      </c>
      <c r="Q122" s="67"/>
      <c r="R122" s="68"/>
      <c r="S122" s="99"/>
      <c r="T122" s="112"/>
      <c r="U122" s="170">
        <v>289000</v>
      </c>
      <c r="V122" s="48">
        <f t="shared" si="17"/>
        <v>1256.5217391304348</v>
      </c>
      <c r="W122" s="171">
        <f t="shared" si="18"/>
        <v>706.09183787154109</v>
      </c>
      <c r="X122" s="69">
        <v>52000</v>
      </c>
      <c r="Y122" s="48">
        <f t="shared" si="19"/>
        <v>226.08695652173913</v>
      </c>
      <c r="Z122" s="137">
        <f t="shared" si="20"/>
        <v>127.04766632982746</v>
      </c>
      <c r="AA122" s="69">
        <v>0</v>
      </c>
      <c r="AB122" s="48">
        <f t="shared" si="21"/>
        <v>0</v>
      </c>
      <c r="AC122" s="137">
        <f t="shared" si="22"/>
        <v>0</v>
      </c>
      <c r="AD122" s="70">
        <f t="shared" si="23"/>
        <v>341000</v>
      </c>
      <c r="AE122" s="71">
        <f t="shared" si="24"/>
        <v>1482.608695652174</v>
      </c>
      <c r="AF122" s="193">
        <f t="shared" si="25"/>
        <v>833.1395042013686</v>
      </c>
      <c r="AG122" s="185">
        <f t="shared" si="26"/>
        <v>1.5048543689320388E-2</v>
      </c>
      <c r="AH122" s="180">
        <f t="shared" si="31"/>
        <v>3.0097087378640777E-2</v>
      </c>
      <c r="AI122" s="189">
        <v>230</v>
      </c>
      <c r="AJ122" s="125">
        <v>409.29520000000002</v>
      </c>
      <c r="AK122" s="149">
        <v>80</v>
      </c>
      <c r="AL122" s="221">
        <v>56</v>
      </c>
      <c r="AM122" s="216">
        <v>91.780821917808225</v>
      </c>
      <c r="AN122" s="213">
        <v>9.1954022988505741</v>
      </c>
      <c r="AO122" s="127">
        <v>4.532</v>
      </c>
      <c r="AP122" s="133">
        <v>2.266</v>
      </c>
      <c r="AQ122" s="224">
        <f t="shared" si="28"/>
        <v>1.1004784688995215</v>
      </c>
      <c r="AR122" s="158">
        <v>209</v>
      </c>
      <c r="AS122" s="229">
        <f t="shared" si="29"/>
        <v>0.75907590759075905</v>
      </c>
      <c r="AT122" s="230">
        <v>303</v>
      </c>
      <c r="AU122" s="203">
        <v>12.173913043478262</v>
      </c>
      <c r="AV122" s="204">
        <v>66.086956521739125</v>
      </c>
      <c r="AW122" s="205">
        <v>21.739130434782609</v>
      </c>
      <c r="AX122" s="123">
        <v>2</v>
      </c>
      <c r="AY122" s="281">
        <v>17.977528089887642</v>
      </c>
      <c r="AZ122" s="282">
        <v>33.707865168539328</v>
      </c>
      <c r="BA122" s="283">
        <f t="shared" si="30"/>
        <v>48.31460674157303</v>
      </c>
      <c r="BB122" s="234">
        <v>80.555555555555557</v>
      </c>
      <c r="BC122" s="20">
        <v>2014</v>
      </c>
      <c r="BD122" s="263" t="s">
        <v>556</v>
      </c>
      <c r="BE122" s="261" t="s">
        <v>556</v>
      </c>
      <c r="BF122" s="260" t="s">
        <v>557</v>
      </c>
      <c r="BG122" s="256">
        <v>11.848341232227488</v>
      </c>
      <c r="BH122" s="248" t="s">
        <v>556</v>
      </c>
      <c r="BI122" s="249">
        <v>27.804878048780491</v>
      </c>
      <c r="BJ122" s="308" t="s">
        <v>556</v>
      </c>
      <c r="BK122" s="307" t="s">
        <v>557</v>
      </c>
      <c r="BL122" s="319" t="s">
        <v>1728</v>
      </c>
      <c r="BM122" s="320" t="s">
        <v>556</v>
      </c>
      <c r="BN122" s="321" t="s">
        <v>1803</v>
      </c>
      <c r="BO122" s="145" t="s">
        <v>556</v>
      </c>
      <c r="BP122" s="14" t="s">
        <v>556</v>
      </c>
      <c r="BQ122" s="14" t="s">
        <v>557</v>
      </c>
      <c r="BR122" s="72" t="s">
        <v>457</v>
      </c>
    </row>
    <row r="123" spans="1:70" s="56" customFormat="1" ht="13.95" customHeight="1" x14ac:dyDescent="0.3">
      <c r="A123" s="56" t="s">
        <v>459</v>
      </c>
      <c r="B123" s="57" t="s">
        <v>462</v>
      </c>
      <c r="C123" s="55" t="s">
        <v>326</v>
      </c>
      <c r="D123" s="58">
        <v>1</v>
      </c>
      <c r="E123" s="59"/>
      <c r="F123" s="60" t="s">
        <v>455</v>
      </c>
      <c r="G123" s="61" t="s">
        <v>304</v>
      </c>
      <c r="H123" s="61" t="s">
        <v>304</v>
      </c>
      <c r="I123" s="62" t="s">
        <v>304</v>
      </c>
      <c r="J123" s="63" t="s">
        <v>1925</v>
      </c>
      <c r="K123" s="99" t="s">
        <v>1434</v>
      </c>
      <c r="L123" s="130">
        <v>494623140</v>
      </c>
      <c r="M123" s="109" t="s">
        <v>564</v>
      </c>
      <c r="N123" s="12" t="s">
        <v>1433</v>
      </c>
      <c r="O123" s="100"/>
      <c r="P123" s="131"/>
      <c r="Q123" s="67"/>
      <c r="R123" s="68"/>
      <c r="S123" s="99"/>
      <c r="T123" s="112"/>
      <c r="U123" s="170">
        <v>0</v>
      </c>
      <c r="V123" s="48">
        <f t="shared" si="17"/>
        <v>0</v>
      </c>
      <c r="W123" s="171">
        <f t="shared" si="18"/>
        <v>0</v>
      </c>
      <c r="X123" s="69">
        <v>0</v>
      </c>
      <c r="Y123" s="48">
        <f t="shared" si="19"/>
        <v>0</v>
      </c>
      <c r="Z123" s="137">
        <f t="shared" si="20"/>
        <v>0</v>
      </c>
      <c r="AA123" s="69">
        <v>0</v>
      </c>
      <c r="AB123" s="48">
        <f t="shared" si="21"/>
        <v>0</v>
      </c>
      <c r="AC123" s="137">
        <f t="shared" si="22"/>
        <v>0</v>
      </c>
      <c r="AD123" s="70">
        <f t="shared" si="23"/>
        <v>0</v>
      </c>
      <c r="AE123" s="71">
        <f t="shared" si="24"/>
        <v>0</v>
      </c>
      <c r="AF123" s="193">
        <f t="shared" si="25"/>
        <v>0</v>
      </c>
      <c r="AG123" s="185">
        <f t="shared" si="26"/>
        <v>0</v>
      </c>
      <c r="AH123" s="180">
        <f t="shared" si="31"/>
        <v>0</v>
      </c>
      <c r="AI123" s="189">
        <v>94</v>
      </c>
      <c r="AJ123" s="125">
        <v>138.42930000000001</v>
      </c>
      <c r="AK123" s="149">
        <v>32</v>
      </c>
      <c r="AL123" s="221">
        <v>23</v>
      </c>
      <c r="AM123" s="216">
        <v>100</v>
      </c>
      <c r="AN123" s="213">
        <v>8.3333333333333339</v>
      </c>
      <c r="AO123" s="127">
        <v>0.63</v>
      </c>
      <c r="AP123" s="133">
        <v>0.1</v>
      </c>
      <c r="AQ123" s="224">
        <f t="shared" si="28"/>
        <v>0.84684684684684686</v>
      </c>
      <c r="AR123" s="158">
        <v>111</v>
      </c>
      <c r="AS123" s="229">
        <f t="shared" si="29"/>
        <v>0.752</v>
      </c>
      <c r="AT123" s="230">
        <v>125</v>
      </c>
      <c r="AU123" s="203">
        <v>11.702127659574469</v>
      </c>
      <c r="AV123" s="204">
        <v>73.40425531914893</v>
      </c>
      <c r="AW123" s="205">
        <v>14.893617021276595</v>
      </c>
      <c r="AX123" s="123">
        <v>2.8986000000000001</v>
      </c>
      <c r="AY123" s="281">
        <v>27.27272727272727</v>
      </c>
      <c r="AZ123" s="282">
        <v>21.212121212121211</v>
      </c>
      <c r="BA123" s="283">
        <f t="shared" si="30"/>
        <v>51.515151515151523</v>
      </c>
      <c r="BB123" s="234">
        <v>100</v>
      </c>
      <c r="BC123" s="20">
        <v>2008</v>
      </c>
      <c r="BD123" s="263" t="s">
        <v>556</v>
      </c>
      <c r="BE123" s="261" t="s">
        <v>556</v>
      </c>
      <c r="BF123" s="260" t="s">
        <v>557</v>
      </c>
      <c r="BG123" s="256">
        <v>19.047619047619047</v>
      </c>
      <c r="BH123" s="248" t="s">
        <v>556</v>
      </c>
      <c r="BI123" s="249">
        <v>29.11392405063291</v>
      </c>
      <c r="BJ123" s="309" t="s">
        <v>557</v>
      </c>
      <c r="BK123" s="307" t="s">
        <v>557</v>
      </c>
      <c r="BL123" s="319" t="s">
        <v>1728</v>
      </c>
      <c r="BM123" s="320" t="s">
        <v>556</v>
      </c>
      <c r="BN123" s="321" t="s">
        <v>557</v>
      </c>
      <c r="BO123" s="145" t="s">
        <v>557</v>
      </c>
      <c r="BP123" s="14" t="s">
        <v>557</v>
      </c>
      <c r="BQ123" s="14" t="s">
        <v>557</v>
      </c>
    </row>
    <row r="124" spans="1:70" s="72" customFormat="1" ht="13.95" customHeight="1" x14ac:dyDescent="0.3">
      <c r="A124" s="56" t="s">
        <v>461</v>
      </c>
      <c r="B124" s="77" t="s">
        <v>464</v>
      </c>
      <c r="C124" s="74" t="s">
        <v>8</v>
      </c>
      <c r="D124" s="58">
        <v>7</v>
      </c>
      <c r="E124" s="59" t="s">
        <v>472</v>
      </c>
      <c r="F124" s="60" t="s">
        <v>452</v>
      </c>
      <c r="G124" s="75" t="s">
        <v>11</v>
      </c>
      <c r="H124" s="75" t="s">
        <v>524</v>
      </c>
      <c r="I124" s="76" t="s">
        <v>524</v>
      </c>
      <c r="J124" s="63" t="s">
        <v>781</v>
      </c>
      <c r="K124" s="99" t="s">
        <v>836</v>
      </c>
      <c r="L124" s="130">
        <v>495703871</v>
      </c>
      <c r="M124" s="109" t="s">
        <v>564</v>
      </c>
      <c r="N124" s="12" t="s">
        <v>779</v>
      </c>
      <c r="O124" s="100" t="s">
        <v>780</v>
      </c>
      <c r="P124" s="131">
        <v>495703870</v>
      </c>
      <c r="Q124" s="78" t="s">
        <v>776</v>
      </c>
      <c r="R124" s="68" t="s">
        <v>777</v>
      </c>
      <c r="S124" s="99" t="s">
        <v>778</v>
      </c>
      <c r="T124" s="131">
        <v>603887936</v>
      </c>
      <c r="U124" s="172">
        <v>0</v>
      </c>
      <c r="V124" s="135">
        <f t="shared" si="17"/>
        <v>0</v>
      </c>
      <c r="W124" s="173">
        <f t="shared" si="18"/>
        <v>0</v>
      </c>
      <c r="X124" s="69">
        <f>1467254+166500</f>
        <v>1633754</v>
      </c>
      <c r="Y124" s="48">
        <f t="shared" si="19"/>
        <v>301.87620103473762</v>
      </c>
      <c r="Z124" s="137">
        <f t="shared" si="20"/>
        <v>761.65872290226537</v>
      </c>
      <c r="AA124" s="69">
        <v>1300000</v>
      </c>
      <c r="AB124" s="48">
        <f t="shared" si="21"/>
        <v>240.20694752402071</v>
      </c>
      <c r="AC124" s="137">
        <f t="shared" si="22"/>
        <v>606.06207530200072</v>
      </c>
      <c r="AD124" s="70">
        <f t="shared" si="23"/>
        <v>2933754</v>
      </c>
      <c r="AE124" s="71">
        <f t="shared" si="24"/>
        <v>542.08314855875835</v>
      </c>
      <c r="AF124" s="193">
        <f t="shared" si="25"/>
        <v>1367.720798204266</v>
      </c>
      <c r="AG124" s="185">
        <f t="shared" si="26"/>
        <v>7.3916704459561595E-3</v>
      </c>
      <c r="AH124" s="180">
        <f t="shared" si="31"/>
        <v>4.7618146404804426E-2</v>
      </c>
      <c r="AI124" s="189">
        <v>5412</v>
      </c>
      <c r="AJ124" s="126">
        <v>2144.9947999999999</v>
      </c>
      <c r="AK124" s="150">
        <v>1841</v>
      </c>
      <c r="AL124" s="221">
        <v>1274</v>
      </c>
      <c r="AM124" s="216">
        <v>63.039309683604984</v>
      </c>
      <c r="AN124" s="213">
        <v>3.0886482150020056</v>
      </c>
      <c r="AO124" s="128">
        <v>79.38</v>
      </c>
      <c r="AP124" s="134">
        <v>12.321999999999999</v>
      </c>
      <c r="AQ124" s="224">
        <f t="shared" si="28"/>
        <v>1.0159564482823353</v>
      </c>
      <c r="AR124" s="158">
        <v>5327</v>
      </c>
      <c r="AS124" s="229">
        <f t="shared" si="29"/>
        <v>1.0441829056530967</v>
      </c>
      <c r="AT124" s="230">
        <v>5183</v>
      </c>
      <c r="AU124" s="203">
        <v>14.781966001478198</v>
      </c>
      <c r="AV124" s="204">
        <v>65.428677014042876</v>
      </c>
      <c r="AW124" s="205">
        <v>19.789356984478935</v>
      </c>
      <c r="AX124" s="123">
        <v>7.0831</v>
      </c>
      <c r="AY124" s="281">
        <v>5.1380042462845017</v>
      </c>
      <c r="AZ124" s="282">
        <v>33.757961783439491</v>
      </c>
      <c r="BA124" s="283">
        <f t="shared" si="30"/>
        <v>61.104033970276014</v>
      </c>
      <c r="BB124" s="234">
        <v>59.781761496492592</v>
      </c>
      <c r="BC124" s="20">
        <v>2011</v>
      </c>
      <c r="BD124" s="263" t="s">
        <v>556</v>
      </c>
      <c r="BE124" s="261" t="s">
        <v>556</v>
      </c>
      <c r="BF124" s="259" t="s">
        <v>556</v>
      </c>
      <c r="BG124" s="256">
        <v>86.847233047544819</v>
      </c>
      <c r="BH124" s="248" t="s">
        <v>556</v>
      </c>
      <c r="BI124" s="249">
        <v>62.347844027233343</v>
      </c>
      <c r="BJ124" s="311" t="s">
        <v>1926</v>
      </c>
      <c r="BK124" s="307" t="s">
        <v>556</v>
      </c>
      <c r="BL124" s="319" t="s">
        <v>1728</v>
      </c>
      <c r="BM124" s="320" t="s">
        <v>556</v>
      </c>
      <c r="BN124" s="321" t="s">
        <v>1927</v>
      </c>
      <c r="BO124" s="145" t="s">
        <v>556</v>
      </c>
      <c r="BP124" s="14">
        <v>2</v>
      </c>
      <c r="BQ124" s="14" t="s">
        <v>556</v>
      </c>
      <c r="BR124" s="56"/>
    </row>
    <row r="125" spans="1:70" s="56" customFormat="1" ht="13.95" customHeight="1" x14ac:dyDescent="0.3">
      <c r="A125" s="56" t="s">
        <v>459</v>
      </c>
      <c r="B125" s="57" t="s">
        <v>462</v>
      </c>
      <c r="C125" s="55" t="s">
        <v>141</v>
      </c>
      <c r="D125" s="58">
        <v>1</v>
      </c>
      <c r="E125" s="59"/>
      <c r="F125" s="60" t="s">
        <v>453</v>
      </c>
      <c r="G125" s="61" t="s">
        <v>113</v>
      </c>
      <c r="H125" s="61" t="s">
        <v>114</v>
      </c>
      <c r="I125" s="62" t="s">
        <v>114</v>
      </c>
      <c r="J125" s="63" t="s">
        <v>1924</v>
      </c>
      <c r="K125" s="99" t="s">
        <v>1056</v>
      </c>
      <c r="L125" s="130">
        <v>493552230</v>
      </c>
      <c r="M125" s="109" t="s">
        <v>537</v>
      </c>
      <c r="N125" s="12" t="s">
        <v>1055</v>
      </c>
      <c r="O125" s="100"/>
      <c r="P125" s="131">
        <v>722943926</v>
      </c>
      <c r="Q125" s="67"/>
      <c r="R125" s="68"/>
      <c r="S125" s="99"/>
      <c r="T125" s="131"/>
      <c r="U125" s="170">
        <v>0</v>
      </c>
      <c r="V125" s="48">
        <f t="shared" si="17"/>
        <v>0</v>
      </c>
      <c r="W125" s="171">
        <f t="shared" si="18"/>
        <v>0</v>
      </c>
      <c r="X125" s="69">
        <v>0</v>
      </c>
      <c r="Y125" s="48">
        <f t="shared" si="19"/>
        <v>0</v>
      </c>
      <c r="Z125" s="137">
        <f t="shared" si="20"/>
        <v>0</v>
      </c>
      <c r="AA125" s="69">
        <v>0</v>
      </c>
      <c r="AB125" s="48">
        <f t="shared" si="21"/>
        <v>0</v>
      </c>
      <c r="AC125" s="137">
        <f t="shared" si="22"/>
        <v>0</v>
      </c>
      <c r="AD125" s="70">
        <f t="shared" si="23"/>
        <v>0</v>
      </c>
      <c r="AE125" s="71">
        <f t="shared" si="24"/>
        <v>0</v>
      </c>
      <c r="AF125" s="193">
        <f t="shared" si="25"/>
        <v>0</v>
      </c>
      <c r="AG125" s="185">
        <f t="shared" si="26"/>
        <v>0</v>
      </c>
      <c r="AH125" s="180">
        <f t="shared" si="31"/>
        <v>0</v>
      </c>
      <c r="AI125" s="189">
        <v>230</v>
      </c>
      <c r="AJ125" s="125">
        <v>454.96839999999997</v>
      </c>
      <c r="AK125" s="149">
        <v>110</v>
      </c>
      <c r="AL125" s="221">
        <v>71</v>
      </c>
      <c r="AM125" s="216">
        <v>93.902439024390233</v>
      </c>
      <c r="AN125" s="213">
        <v>23.931623931623932</v>
      </c>
      <c r="AO125" s="127">
        <v>2.1579999999999999</v>
      </c>
      <c r="AP125" s="133">
        <v>0.158</v>
      </c>
      <c r="AQ125" s="224">
        <f t="shared" si="28"/>
        <v>1.1274509803921569</v>
      </c>
      <c r="AR125" s="158">
        <v>204</v>
      </c>
      <c r="AS125" s="229">
        <f t="shared" si="29"/>
        <v>0.49356223175965663</v>
      </c>
      <c r="AT125" s="230">
        <v>466</v>
      </c>
      <c r="AU125" s="203">
        <v>12.608695652173912</v>
      </c>
      <c r="AV125" s="204">
        <v>73.043478260869577</v>
      </c>
      <c r="AW125" s="205">
        <v>14.347826086956522</v>
      </c>
      <c r="AX125" s="123">
        <v>3.7037</v>
      </c>
      <c r="AY125" s="281">
        <v>16.279069767441861</v>
      </c>
      <c r="AZ125" s="282">
        <v>37.209302325581397</v>
      </c>
      <c r="BA125" s="283">
        <f t="shared" si="30"/>
        <v>46.511627906976749</v>
      </c>
      <c r="BB125" s="234">
        <v>93.023255813953483</v>
      </c>
      <c r="BC125" s="20" t="s">
        <v>557</v>
      </c>
      <c r="BD125" s="263" t="s">
        <v>556</v>
      </c>
      <c r="BE125" s="261" t="s">
        <v>556</v>
      </c>
      <c r="BF125" s="260" t="s">
        <v>557</v>
      </c>
      <c r="BG125" s="256">
        <v>37.914691943127963</v>
      </c>
      <c r="BH125" s="254" t="s">
        <v>557</v>
      </c>
      <c r="BI125" s="249">
        <v>0</v>
      </c>
      <c r="BJ125" s="309" t="s">
        <v>557</v>
      </c>
      <c r="BK125" s="307" t="s">
        <v>557</v>
      </c>
      <c r="BL125" s="319" t="s">
        <v>1728</v>
      </c>
      <c r="BM125" s="320" t="s">
        <v>557</v>
      </c>
      <c r="BN125" s="321" t="s">
        <v>1767</v>
      </c>
      <c r="BO125" s="145" t="s">
        <v>557</v>
      </c>
      <c r="BP125" s="14" t="s">
        <v>556</v>
      </c>
      <c r="BQ125" s="14" t="s">
        <v>557</v>
      </c>
    </row>
    <row r="126" spans="1:70" s="72" customFormat="1" ht="13.95" customHeight="1" x14ac:dyDescent="0.3">
      <c r="A126" s="56" t="s">
        <v>459</v>
      </c>
      <c r="B126" s="57" t="s">
        <v>462</v>
      </c>
      <c r="C126" s="55" t="s">
        <v>142</v>
      </c>
      <c r="D126" s="58">
        <v>3</v>
      </c>
      <c r="E126" s="59" t="s">
        <v>560</v>
      </c>
      <c r="F126" s="60" t="s">
        <v>453</v>
      </c>
      <c r="G126" s="61" t="s">
        <v>117</v>
      </c>
      <c r="H126" s="61" t="s">
        <v>117</v>
      </c>
      <c r="I126" s="62" t="s">
        <v>117</v>
      </c>
      <c r="J126" s="63" t="s">
        <v>1931</v>
      </c>
      <c r="K126" s="99"/>
      <c r="L126" s="130" t="s">
        <v>1930</v>
      </c>
      <c r="M126" s="109" t="s">
        <v>564</v>
      </c>
      <c r="N126" s="12" t="s">
        <v>1057</v>
      </c>
      <c r="O126" s="100" t="s">
        <v>1058</v>
      </c>
      <c r="P126" s="131">
        <v>602619800</v>
      </c>
      <c r="Q126" s="67"/>
      <c r="R126" s="68"/>
      <c r="S126" s="99"/>
      <c r="T126" s="131"/>
      <c r="U126" s="170">
        <v>829295</v>
      </c>
      <c r="V126" s="48">
        <f t="shared" si="17"/>
        <v>1252.7114803625377</v>
      </c>
      <c r="W126" s="171">
        <f t="shared" si="18"/>
        <v>792.74418183154739</v>
      </c>
      <c r="X126" s="69">
        <v>160155</v>
      </c>
      <c r="Y126" s="48">
        <f t="shared" si="19"/>
        <v>241.92598187311179</v>
      </c>
      <c r="Z126" s="137">
        <f t="shared" si="20"/>
        <v>153.09623769735916</v>
      </c>
      <c r="AA126" s="69">
        <v>0</v>
      </c>
      <c r="AB126" s="48">
        <f t="shared" si="21"/>
        <v>0</v>
      </c>
      <c r="AC126" s="137">
        <f t="shared" si="22"/>
        <v>0</v>
      </c>
      <c r="AD126" s="70">
        <f t="shared" si="23"/>
        <v>989450</v>
      </c>
      <c r="AE126" s="71">
        <f t="shared" si="24"/>
        <v>1494.6374622356495</v>
      </c>
      <c r="AF126" s="193">
        <f t="shared" si="25"/>
        <v>945.84041952890652</v>
      </c>
      <c r="AG126" s="185">
        <f t="shared" si="26"/>
        <v>1.7541884584699938E-2</v>
      </c>
      <c r="AH126" s="180">
        <f t="shared" si="31"/>
        <v>4.3597708746419918E-2</v>
      </c>
      <c r="AI126" s="189">
        <v>662</v>
      </c>
      <c r="AJ126" s="125">
        <v>1046.1067</v>
      </c>
      <c r="AK126" s="149">
        <v>250</v>
      </c>
      <c r="AL126" s="221">
        <v>175</v>
      </c>
      <c r="AM126" s="216">
        <v>88.235294117647058</v>
      </c>
      <c r="AN126" s="213">
        <v>13.402061855670102</v>
      </c>
      <c r="AO126" s="127">
        <v>11.281000000000001</v>
      </c>
      <c r="AP126" s="133">
        <v>4.5389999999999997</v>
      </c>
      <c r="AQ126" s="224">
        <f t="shared" si="28"/>
        <v>1.0924092409240924</v>
      </c>
      <c r="AR126" s="158">
        <v>606</v>
      </c>
      <c r="AS126" s="229">
        <f t="shared" si="29"/>
        <v>0.5848056537102474</v>
      </c>
      <c r="AT126" s="230">
        <v>1132</v>
      </c>
      <c r="AU126" s="203">
        <v>17.220543806646525</v>
      </c>
      <c r="AV126" s="204">
        <v>64.199395770392741</v>
      </c>
      <c r="AW126" s="205">
        <v>18.580060422960727</v>
      </c>
      <c r="AX126" s="123">
        <v>6.3380000000000001</v>
      </c>
      <c r="AY126" s="281">
        <v>12.5</v>
      </c>
      <c r="AZ126" s="282">
        <v>29.296875</v>
      </c>
      <c r="BA126" s="283">
        <f t="shared" si="30"/>
        <v>58.203125</v>
      </c>
      <c r="BB126" s="234">
        <v>68.367346938775512</v>
      </c>
      <c r="BC126" s="20">
        <v>2018</v>
      </c>
      <c r="BD126" s="263" t="s">
        <v>556</v>
      </c>
      <c r="BE126" s="261" t="s">
        <v>556</v>
      </c>
      <c r="BF126" s="259" t="s">
        <v>556</v>
      </c>
      <c r="BG126" s="256">
        <v>48.427672955974842</v>
      </c>
      <c r="BH126" s="248" t="s">
        <v>556</v>
      </c>
      <c r="BI126" s="249">
        <v>59.136212624584715</v>
      </c>
      <c r="BJ126" s="308" t="s">
        <v>556</v>
      </c>
      <c r="BK126" s="307" t="s">
        <v>556</v>
      </c>
      <c r="BL126" s="319" t="s">
        <v>1728</v>
      </c>
      <c r="BM126" s="320" t="s">
        <v>556</v>
      </c>
      <c r="BN126" s="321" t="s">
        <v>1932</v>
      </c>
      <c r="BO126" s="145" t="s">
        <v>556</v>
      </c>
      <c r="BP126" s="14" t="s">
        <v>556</v>
      </c>
      <c r="BQ126" s="14" t="s">
        <v>557</v>
      </c>
      <c r="BR126" s="56"/>
    </row>
    <row r="127" spans="1:70" s="56" customFormat="1" ht="13.95" customHeight="1" x14ac:dyDescent="0.3">
      <c r="A127" s="56" t="s">
        <v>459</v>
      </c>
      <c r="B127" s="57" t="s">
        <v>462</v>
      </c>
      <c r="C127" s="55" t="s">
        <v>143</v>
      </c>
      <c r="D127" s="58">
        <v>1</v>
      </c>
      <c r="E127" s="59"/>
      <c r="F127" s="60" t="s">
        <v>453</v>
      </c>
      <c r="G127" s="61" t="s">
        <v>113</v>
      </c>
      <c r="H127" s="61" t="s">
        <v>144</v>
      </c>
      <c r="I127" s="62" t="s">
        <v>144</v>
      </c>
      <c r="J127" s="63" t="s">
        <v>1928</v>
      </c>
      <c r="K127" s="99" t="s">
        <v>1059</v>
      </c>
      <c r="L127" s="130" t="s">
        <v>1933</v>
      </c>
      <c r="M127" s="109" t="s">
        <v>564</v>
      </c>
      <c r="N127" s="12" t="s">
        <v>1060</v>
      </c>
      <c r="O127" s="100"/>
      <c r="P127" s="131">
        <v>603559402</v>
      </c>
      <c r="Q127" s="67"/>
      <c r="R127" s="68"/>
      <c r="S127" s="99"/>
      <c r="T127" s="131"/>
      <c r="U127" s="170">
        <v>0</v>
      </c>
      <c r="V127" s="48">
        <f t="shared" si="17"/>
        <v>0</v>
      </c>
      <c r="W127" s="171">
        <f t="shared" si="18"/>
        <v>0</v>
      </c>
      <c r="X127" s="69">
        <v>0</v>
      </c>
      <c r="Y127" s="48">
        <f t="shared" si="19"/>
        <v>0</v>
      </c>
      <c r="Z127" s="137">
        <f t="shared" si="20"/>
        <v>0</v>
      </c>
      <c r="AA127" s="69">
        <v>0</v>
      </c>
      <c r="AB127" s="48">
        <f t="shared" si="21"/>
        <v>0</v>
      </c>
      <c r="AC127" s="137">
        <f t="shared" si="22"/>
        <v>0</v>
      </c>
      <c r="AD127" s="70">
        <f t="shared" si="23"/>
        <v>0</v>
      </c>
      <c r="AE127" s="71">
        <f t="shared" si="24"/>
        <v>0</v>
      </c>
      <c r="AF127" s="193">
        <f t="shared" si="25"/>
        <v>0</v>
      </c>
      <c r="AG127" s="185">
        <f t="shared" si="26"/>
        <v>0</v>
      </c>
      <c r="AH127" s="180">
        <f t="shared" si="31"/>
        <v>0</v>
      </c>
      <c r="AI127" s="189">
        <v>204</v>
      </c>
      <c r="AJ127" s="125">
        <v>607.67340000000002</v>
      </c>
      <c r="AK127" s="149">
        <v>125</v>
      </c>
      <c r="AL127" s="221">
        <v>67</v>
      </c>
      <c r="AM127" s="216">
        <v>94.366197183098592</v>
      </c>
      <c r="AN127" s="213">
        <v>34.677419354838712</v>
      </c>
      <c r="AO127" s="127">
        <v>1.651</v>
      </c>
      <c r="AP127" s="133">
        <v>0.59599999999999997</v>
      </c>
      <c r="AQ127" s="224">
        <f t="shared" si="28"/>
        <v>0.94444444444444442</v>
      </c>
      <c r="AR127" s="158">
        <v>216</v>
      </c>
      <c r="AS127" s="229">
        <f t="shared" si="29"/>
        <v>0.39382239382239381</v>
      </c>
      <c r="AT127" s="230">
        <v>518</v>
      </c>
      <c r="AU127" s="203">
        <v>17.647058823529413</v>
      </c>
      <c r="AV127" s="204">
        <v>63.235294117647051</v>
      </c>
      <c r="AW127" s="205">
        <v>19.117647058823529</v>
      </c>
      <c r="AX127" s="123">
        <v>1.5625</v>
      </c>
      <c r="AY127" s="281">
        <v>3.7037037037037033</v>
      </c>
      <c r="AZ127" s="282">
        <v>48.148148148148145</v>
      </c>
      <c r="BA127" s="283">
        <f t="shared" si="30"/>
        <v>48.148148148148145</v>
      </c>
      <c r="BB127" s="234">
        <v>88.888888888888886</v>
      </c>
      <c r="BC127" s="20">
        <v>1994</v>
      </c>
      <c r="BD127" s="264" t="s">
        <v>557</v>
      </c>
      <c r="BE127" s="261" t="s">
        <v>556</v>
      </c>
      <c r="BF127" s="260" t="s">
        <v>557</v>
      </c>
      <c r="BG127" s="256">
        <v>19.796954314720814</v>
      </c>
      <c r="BH127" s="254" t="s">
        <v>557</v>
      </c>
      <c r="BI127" s="249">
        <v>0</v>
      </c>
      <c r="BJ127" s="309" t="s">
        <v>557</v>
      </c>
      <c r="BK127" s="307" t="s">
        <v>557</v>
      </c>
      <c r="BL127" s="319" t="s">
        <v>1728</v>
      </c>
      <c r="BM127" s="320" t="s">
        <v>556</v>
      </c>
      <c r="BN127" s="321" t="s">
        <v>1838</v>
      </c>
      <c r="BO127" s="145" t="s">
        <v>557</v>
      </c>
      <c r="BP127" s="14" t="s">
        <v>556</v>
      </c>
      <c r="BQ127" s="14" t="s">
        <v>557</v>
      </c>
      <c r="BR127" s="3"/>
    </row>
    <row r="128" spans="1:70" s="56" customFormat="1" ht="13.95" customHeight="1" x14ac:dyDescent="0.3">
      <c r="A128" s="56" t="s">
        <v>459</v>
      </c>
      <c r="B128" s="57" t="s">
        <v>462</v>
      </c>
      <c r="C128" s="55" t="s">
        <v>409</v>
      </c>
      <c r="D128" s="58">
        <v>1</v>
      </c>
      <c r="E128" s="59"/>
      <c r="F128" s="60" t="s">
        <v>456</v>
      </c>
      <c r="G128" s="61" t="s">
        <v>378</v>
      </c>
      <c r="H128" s="61" t="s">
        <v>378</v>
      </c>
      <c r="I128" s="62" t="s">
        <v>390</v>
      </c>
      <c r="J128" s="63" t="s">
        <v>763</v>
      </c>
      <c r="K128" s="99" t="s">
        <v>764</v>
      </c>
      <c r="L128" s="130">
        <v>499447156</v>
      </c>
      <c r="M128" s="109" t="s">
        <v>564</v>
      </c>
      <c r="N128" s="12" t="s">
        <v>761</v>
      </c>
      <c r="O128" s="100" t="s">
        <v>762</v>
      </c>
      <c r="P128" s="131">
        <v>603453936</v>
      </c>
      <c r="Q128" s="85" t="s">
        <v>564</v>
      </c>
      <c r="R128" s="12" t="s">
        <v>761</v>
      </c>
      <c r="S128" s="100" t="s">
        <v>762</v>
      </c>
      <c r="T128" s="131">
        <v>603453936</v>
      </c>
      <c r="U128" s="170">
        <v>0</v>
      </c>
      <c r="V128" s="48">
        <f t="shared" si="17"/>
        <v>0</v>
      </c>
      <c r="W128" s="171">
        <f t="shared" si="18"/>
        <v>0</v>
      </c>
      <c r="X128" s="69">
        <v>135000</v>
      </c>
      <c r="Y128" s="48">
        <f t="shared" si="19"/>
        <v>131.57894736842104</v>
      </c>
      <c r="Z128" s="137">
        <f t="shared" si="20"/>
        <v>67.082011983331853</v>
      </c>
      <c r="AA128" s="69">
        <v>2000000</v>
      </c>
      <c r="AB128" s="48">
        <f t="shared" si="21"/>
        <v>1949.3177387914229</v>
      </c>
      <c r="AC128" s="137">
        <f t="shared" si="22"/>
        <v>993.80758493824976</v>
      </c>
      <c r="AD128" s="70">
        <f t="shared" si="23"/>
        <v>2135000</v>
      </c>
      <c r="AE128" s="71">
        <f t="shared" si="24"/>
        <v>2080.8966861598442</v>
      </c>
      <c r="AF128" s="193">
        <f t="shared" si="25"/>
        <v>1060.8895969215816</v>
      </c>
      <c r="AG128" s="185">
        <f t="shared" si="26"/>
        <v>2.8434440966904173E-2</v>
      </c>
      <c r="AH128" s="180">
        <f t="shared" si="31"/>
        <v>6.4491768615012823E-2</v>
      </c>
      <c r="AI128" s="189">
        <v>1026</v>
      </c>
      <c r="AJ128" s="125">
        <v>2012.462</v>
      </c>
      <c r="AK128" s="149">
        <v>346</v>
      </c>
      <c r="AL128" s="221">
        <v>248</v>
      </c>
      <c r="AM128" s="216">
        <v>72.375690607734811</v>
      </c>
      <c r="AN128" s="213">
        <v>8.3333333333333321</v>
      </c>
      <c r="AO128" s="127">
        <v>15.016999999999999</v>
      </c>
      <c r="AP128" s="133">
        <v>6.6210000000000004</v>
      </c>
      <c r="AQ128" s="224">
        <f t="shared" si="28"/>
        <v>1.0523076923076924</v>
      </c>
      <c r="AR128" s="158">
        <v>975</v>
      </c>
      <c r="AS128" s="229">
        <f t="shared" si="29"/>
        <v>0.57478991596638651</v>
      </c>
      <c r="AT128" s="230">
        <v>1785</v>
      </c>
      <c r="AU128" s="203">
        <v>14.912280701754385</v>
      </c>
      <c r="AV128" s="204">
        <v>67.641325536062382</v>
      </c>
      <c r="AW128" s="205">
        <v>17.446393762183234</v>
      </c>
      <c r="AX128" s="123">
        <v>4.5389999999999997</v>
      </c>
      <c r="AY128" s="281">
        <v>5.4187192118226601</v>
      </c>
      <c r="AZ128" s="282">
        <v>44.827586206896555</v>
      </c>
      <c r="BA128" s="283">
        <f t="shared" si="30"/>
        <v>49.753694581280783</v>
      </c>
      <c r="BB128" s="234">
        <v>87.434554973821989</v>
      </c>
      <c r="BC128" s="20">
        <v>2002</v>
      </c>
      <c r="BD128" s="263" t="s">
        <v>556</v>
      </c>
      <c r="BE128" s="261" t="s">
        <v>556</v>
      </c>
      <c r="BF128" s="259" t="s">
        <v>556</v>
      </c>
      <c r="BG128" s="256">
        <v>18.258132214060861</v>
      </c>
      <c r="BH128" s="254" t="s">
        <v>557</v>
      </c>
      <c r="BI128" s="249">
        <v>0</v>
      </c>
      <c r="BJ128" s="308" t="s">
        <v>556</v>
      </c>
      <c r="BK128" s="307" t="s">
        <v>750</v>
      </c>
      <c r="BL128" s="319" t="s">
        <v>557</v>
      </c>
      <c r="BM128" s="320" t="s">
        <v>556</v>
      </c>
      <c r="BN128" s="321" t="s">
        <v>1803</v>
      </c>
      <c r="BO128" s="145" t="s">
        <v>998</v>
      </c>
      <c r="BP128" s="14" t="s">
        <v>556</v>
      </c>
      <c r="BQ128" s="14" t="s">
        <v>556</v>
      </c>
    </row>
    <row r="129" spans="1:70" s="56" customFormat="1" ht="13.95" customHeight="1" x14ac:dyDescent="0.3">
      <c r="A129" s="3" t="s">
        <v>459</v>
      </c>
      <c r="B129" s="57" t="s">
        <v>462</v>
      </c>
      <c r="C129" s="55" t="s">
        <v>410</v>
      </c>
      <c r="D129" s="58">
        <v>1</v>
      </c>
      <c r="E129" s="59"/>
      <c r="F129" s="60" t="s">
        <v>456</v>
      </c>
      <c r="G129" s="61" t="s">
        <v>531</v>
      </c>
      <c r="H129" s="61" t="s">
        <v>531</v>
      </c>
      <c r="I129" s="62" t="s">
        <v>531</v>
      </c>
      <c r="J129" s="117" t="s">
        <v>1929</v>
      </c>
      <c r="K129" s="100" t="s">
        <v>1587</v>
      </c>
      <c r="L129" s="131">
        <v>499692941</v>
      </c>
      <c r="M129" s="109" t="s">
        <v>564</v>
      </c>
      <c r="N129" s="12" t="s">
        <v>1586</v>
      </c>
      <c r="O129" s="100"/>
      <c r="P129" s="131">
        <v>725081196</v>
      </c>
      <c r="Q129" s="82"/>
      <c r="R129" s="80"/>
      <c r="S129" s="116"/>
      <c r="T129" s="241"/>
      <c r="U129" s="170">
        <v>90045</v>
      </c>
      <c r="V129" s="48">
        <f t="shared" si="17"/>
        <v>159.09010600706713</v>
      </c>
      <c r="W129" s="171">
        <f t="shared" si="18"/>
        <v>72.061031119769765</v>
      </c>
      <c r="X129" s="69">
        <v>61020</v>
      </c>
      <c r="Y129" s="48">
        <f t="shared" si="19"/>
        <v>107.80918727915194</v>
      </c>
      <c r="Z129" s="137">
        <f t="shared" si="20"/>
        <v>48.83296261789495</v>
      </c>
      <c r="AA129" s="69">
        <v>0</v>
      </c>
      <c r="AB129" s="48">
        <f t="shared" si="21"/>
        <v>0</v>
      </c>
      <c r="AC129" s="137">
        <f t="shared" si="22"/>
        <v>0</v>
      </c>
      <c r="AD129" s="70">
        <f t="shared" si="23"/>
        <v>151065</v>
      </c>
      <c r="AE129" s="71">
        <f t="shared" si="24"/>
        <v>266.89929328621906</v>
      </c>
      <c r="AF129" s="193">
        <f t="shared" si="25"/>
        <v>120.8939937376647</v>
      </c>
      <c r="AG129" s="185">
        <f t="shared" si="26"/>
        <v>3.2786760716223551E-3</v>
      </c>
      <c r="AH129" s="180">
        <f t="shared" si="31"/>
        <v>7.7251342367680893E-3</v>
      </c>
      <c r="AI129" s="189">
        <v>566</v>
      </c>
      <c r="AJ129" s="125">
        <v>1249.5658000000001</v>
      </c>
      <c r="AK129" s="149">
        <v>216</v>
      </c>
      <c r="AL129" s="221">
        <v>145</v>
      </c>
      <c r="AM129" s="216">
        <v>80.412371134020617</v>
      </c>
      <c r="AN129" s="213">
        <v>3.7037037037037033</v>
      </c>
      <c r="AO129" s="127">
        <v>9.2149999999999999</v>
      </c>
      <c r="AP129" s="133">
        <v>3.911</v>
      </c>
      <c r="AQ129" s="224">
        <f t="shared" si="28"/>
        <v>0.9625850340136054</v>
      </c>
      <c r="AR129" s="158">
        <v>588</v>
      </c>
      <c r="AS129" s="229">
        <f t="shared" si="29"/>
        <v>0.60729613733905574</v>
      </c>
      <c r="AT129" s="230">
        <v>932</v>
      </c>
      <c r="AU129" s="203">
        <v>10.954063604240282</v>
      </c>
      <c r="AV129" s="204">
        <v>69.434628975265028</v>
      </c>
      <c r="AW129" s="205">
        <v>19.6113074204947</v>
      </c>
      <c r="AX129" s="123">
        <v>9.2104999999999997</v>
      </c>
      <c r="AY129" s="281">
        <v>11.061946902654867</v>
      </c>
      <c r="AZ129" s="282">
        <v>29.646017699115045</v>
      </c>
      <c r="BA129" s="283">
        <f t="shared" si="30"/>
        <v>59.292035398230084</v>
      </c>
      <c r="BB129" s="234">
        <v>63.20754716981132</v>
      </c>
      <c r="BC129" s="19">
        <v>2010</v>
      </c>
      <c r="BD129" s="263" t="s">
        <v>556</v>
      </c>
      <c r="BE129" s="261" t="s">
        <v>556</v>
      </c>
      <c r="BF129" s="260" t="s">
        <v>557</v>
      </c>
      <c r="BG129" s="256">
        <v>4.7706422018348622</v>
      </c>
      <c r="BH129" s="248" t="s">
        <v>556</v>
      </c>
      <c r="BI129" s="249">
        <v>16.801619433198383</v>
      </c>
      <c r="BJ129" s="311" t="s">
        <v>1936</v>
      </c>
      <c r="BK129" s="307" t="s">
        <v>1712</v>
      </c>
      <c r="BL129" s="319" t="s">
        <v>1728</v>
      </c>
      <c r="BM129" s="320" t="s">
        <v>556</v>
      </c>
      <c r="BN129" s="321" t="s">
        <v>1767</v>
      </c>
      <c r="BO129" s="21" t="s">
        <v>998</v>
      </c>
      <c r="BP129" s="10" t="s">
        <v>556</v>
      </c>
      <c r="BQ129" s="10" t="s">
        <v>557</v>
      </c>
      <c r="BR129" s="3"/>
    </row>
    <row r="130" spans="1:70" s="56" customFormat="1" ht="13.95" customHeight="1" x14ac:dyDescent="0.3">
      <c r="A130" s="56" t="s">
        <v>459</v>
      </c>
      <c r="B130" s="57" t="s">
        <v>462</v>
      </c>
      <c r="C130" s="55" t="s">
        <v>35</v>
      </c>
      <c r="D130" s="58">
        <v>1</v>
      </c>
      <c r="E130" s="59"/>
      <c r="F130" s="60" t="s">
        <v>452</v>
      </c>
      <c r="G130" s="61" t="s">
        <v>11</v>
      </c>
      <c r="H130" s="61" t="s">
        <v>524</v>
      </c>
      <c r="I130" s="62" t="s">
        <v>524</v>
      </c>
      <c r="J130" s="63" t="s">
        <v>1937</v>
      </c>
      <c r="K130" s="99" t="s">
        <v>837</v>
      </c>
      <c r="L130" s="130">
        <v>495499535</v>
      </c>
      <c r="M130" s="109" t="s">
        <v>564</v>
      </c>
      <c r="N130" s="12" t="s">
        <v>838</v>
      </c>
      <c r="O130" s="100"/>
      <c r="P130" s="131">
        <v>602455720</v>
      </c>
      <c r="Q130" s="67"/>
      <c r="R130" s="68"/>
      <c r="S130" s="99"/>
      <c r="T130" s="65"/>
      <c r="U130" s="170">
        <f>56270+29600+27200</f>
        <v>113070</v>
      </c>
      <c r="V130" s="48">
        <f t="shared" si="17"/>
        <v>457.77327935222672</v>
      </c>
      <c r="W130" s="171">
        <f t="shared" si="18"/>
        <v>523.93284651645126</v>
      </c>
      <c r="X130" s="69">
        <v>25000</v>
      </c>
      <c r="Y130" s="48">
        <f t="shared" si="19"/>
        <v>101.21457489878543</v>
      </c>
      <c r="Z130" s="137">
        <f t="shared" si="20"/>
        <v>115.84258568065164</v>
      </c>
      <c r="AA130" s="69">
        <v>0</v>
      </c>
      <c r="AB130" s="48">
        <f t="shared" si="21"/>
        <v>0</v>
      </c>
      <c r="AC130" s="137">
        <f t="shared" si="22"/>
        <v>0</v>
      </c>
      <c r="AD130" s="70">
        <f t="shared" si="23"/>
        <v>138070</v>
      </c>
      <c r="AE130" s="71">
        <f t="shared" si="24"/>
        <v>558.9878542510121</v>
      </c>
      <c r="AF130" s="193">
        <f t="shared" si="25"/>
        <v>639.77543219710287</v>
      </c>
      <c r="AG130" s="185">
        <f t="shared" si="26"/>
        <v>1.0592251630226313E-2</v>
      </c>
      <c r="AH130" s="180">
        <f t="shared" si="31"/>
        <v>4.6724196277495765E-2</v>
      </c>
      <c r="AI130" s="189">
        <v>247</v>
      </c>
      <c r="AJ130" s="125">
        <v>215.81010000000001</v>
      </c>
      <c r="AK130" s="149">
        <v>93</v>
      </c>
      <c r="AL130" s="221">
        <v>75</v>
      </c>
      <c r="AM130" s="216">
        <v>100</v>
      </c>
      <c r="AN130" s="213">
        <v>1.0752688172043012</v>
      </c>
      <c r="AO130" s="127">
        <v>2.6070000000000002</v>
      </c>
      <c r="AP130" s="133">
        <v>0.59099999999999997</v>
      </c>
      <c r="AQ130" s="224">
        <f t="shared" si="28"/>
        <v>1.293193717277487</v>
      </c>
      <c r="AR130" s="158">
        <v>191</v>
      </c>
      <c r="AS130" s="229">
        <f t="shared" si="29"/>
        <v>1.2288557213930349</v>
      </c>
      <c r="AT130" s="230">
        <v>201</v>
      </c>
      <c r="AU130" s="203">
        <v>22.672064777327936</v>
      </c>
      <c r="AV130" s="204">
        <v>64.777327935222672</v>
      </c>
      <c r="AW130" s="205">
        <v>12.550607287449392</v>
      </c>
      <c r="AX130" s="123">
        <v>3.7037</v>
      </c>
      <c r="AY130" s="281">
        <v>3.4482758620689653</v>
      </c>
      <c r="AZ130" s="282">
        <v>39.655172413793103</v>
      </c>
      <c r="BA130" s="283">
        <f t="shared" si="30"/>
        <v>56.896551724137929</v>
      </c>
      <c r="BB130" s="234">
        <v>89.0625</v>
      </c>
      <c r="BC130" s="20">
        <v>2001</v>
      </c>
      <c r="BD130" s="263" t="s">
        <v>556</v>
      </c>
      <c r="BE130" s="261" t="s">
        <v>556</v>
      </c>
      <c r="BF130" s="259" t="s">
        <v>556</v>
      </c>
      <c r="BG130" s="256">
        <v>80.68669527896995</v>
      </c>
      <c r="BH130" s="248" t="s">
        <v>556</v>
      </c>
      <c r="BI130" s="249">
        <v>63.876651982378853</v>
      </c>
      <c r="BJ130" s="308" t="s">
        <v>556</v>
      </c>
      <c r="BK130" s="307" t="s">
        <v>557</v>
      </c>
      <c r="BL130" s="319" t="s">
        <v>1728</v>
      </c>
      <c r="BM130" s="320" t="s">
        <v>556</v>
      </c>
      <c r="BN130" s="321" t="s">
        <v>1920</v>
      </c>
      <c r="BO130" s="145" t="s">
        <v>557</v>
      </c>
      <c r="BP130" s="14" t="s">
        <v>557</v>
      </c>
      <c r="BQ130" s="14" t="s">
        <v>557</v>
      </c>
    </row>
    <row r="131" spans="1:70" s="56" customFormat="1" ht="13.95" customHeight="1" x14ac:dyDescent="0.3">
      <c r="A131" s="56" t="s">
        <v>459</v>
      </c>
      <c r="B131" s="57" t="s">
        <v>462</v>
      </c>
      <c r="C131" s="55" t="s">
        <v>411</v>
      </c>
      <c r="D131" s="58">
        <v>2</v>
      </c>
      <c r="E131" s="59" t="s">
        <v>727</v>
      </c>
      <c r="F131" s="60" t="s">
        <v>456</v>
      </c>
      <c r="G131" s="61" t="s">
        <v>378</v>
      </c>
      <c r="H131" s="61" t="s">
        <v>378</v>
      </c>
      <c r="I131" s="62" t="s">
        <v>378</v>
      </c>
      <c r="J131" s="63" t="s">
        <v>1938</v>
      </c>
      <c r="K131" s="99" t="s">
        <v>1939</v>
      </c>
      <c r="L131" s="130">
        <v>499892114</v>
      </c>
      <c r="M131" s="109" t="s">
        <v>564</v>
      </c>
      <c r="N131" s="12" t="s">
        <v>1588</v>
      </c>
      <c r="O131" s="100" t="s">
        <v>1589</v>
      </c>
      <c r="P131" s="131">
        <v>731109074</v>
      </c>
      <c r="Q131" s="84"/>
      <c r="S131" s="105"/>
      <c r="T131" s="112"/>
      <c r="U131" s="170">
        <v>313704</v>
      </c>
      <c r="V131" s="48">
        <f t="shared" si="17"/>
        <v>473.15837104072398</v>
      </c>
      <c r="W131" s="171">
        <f t="shared" si="18"/>
        <v>181.92876011128538</v>
      </c>
      <c r="X131" s="69">
        <v>0</v>
      </c>
      <c r="Y131" s="48">
        <f t="shared" si="19"/>
        <v>0</v>
      </c>
      <c r="Z131" s="137">
        <f t="shared" si="20"/>
        <v>0</v>
      </c>
      <c r="AA131" s="69">
        <v>0</v>
      </c>
      <c r="AB131" s="48">
        <f t="shared" si="21"/>
        <v>0</v>
      </c>
      <c r="AC131" s="137">
        <f t="shared" si="22"/>
        <v>0</v>
      </c>
      <c r="AD131" s="70">
        <f t="shared" si="23"/>
        <v>313704</v>
      </c>
      <c r="AE131" s="71">
        <f t="shared" si="24"/>
        <v>473.15837104072398</v>
      </c>
      <c r="AF131" s="193">
        <f t="shared" si="25"/>
        <v>181.92876011128538</v>
      </c>
      <c r="AG131" s="185">
        <f t="shared" si="26"/>
        <v>6.0033298248971393E-3</v>
      </c>
      <c r="AH131" s="180">
        <f t="shared" si="31"/>
        <v>4.5930307467057098E-2</v>
      </c>
      <c r="AI131" s="189">
        <v>663</v>
      </c>
      <c r="AJ131" s="125">
        <v>1724.3233</v>
      </c>
      <c r="AK131" s="149">
        <v>262</v>
      </c>
      <c r="AL131" s="221">
        <v>156</v>
      </c>
      <c r="AM131" s="216">
        <v>69.955156950672645</v>
      </c>
      <c r="AN131" s="213">
        <v>12.32394366197183</v>
      </c>
      <c r="AO131" s="127">
        <v>10.451000000000001</v>
      </c>
      <c r="AP131" s="133">
        <v>1.3660000000000001</v>
      </c>
      <c r="AQ131" s="224">
        <f t="shared" si="28"/>
        <v>1.099502487562189</v>
      </c>
      <c r="AR131" s="158">
        <v>603</v>
      </c>
      <c r="AS131" s="229">
        <f t="shared" si="29"/>
        <v>0.41437499999999999</v>
      </c>
      <c r="AT131" s="230">
        <v>1600</v>
      </c>
      <c r="AU131" s="203">
        <v>14.328808446455504</v>
      </c>
      <c r="AV131" s="204">
        <v>68.476621417797901</v>
      </c>
      <c r="AW131" s="205">
        <v>17.194570135746606</v>
      </c>
      <c r="AX131" s="123">
        <v>4.2697000000000003</v>
      </c>
      <c r="AY131" s="281">
        <v>3.3613445378151261</v>
      </c>
      <c r="AZ131" s="282">
        <v>43.27731092436975</v>
      </c>
      <c r="BA131" s="283">
        <f t="shared" si="30"/>
        <v>53.361344537815121</v>
      </c>
      <c r="BB131" s="234">
        <v>93.258426966292134</v>
      </c>
      <c r="BC131" s="20">
        <v>2006</v>
      </c>
      <c r="BD131" s="263" t="s">
        <v>556</v>
      </c>
      <c r="BE131" s="262" t="s">
        <v>557</v>
      </c>
      <c r="BF131" s="260" t="s">
        <v>557</v>
      </c>
      <c r="BG131" s="256">
        <v>0</v>
      </c>
      <c r="BH131" s="254" t="s">
        <v>557</v>
      </c>
      <c r="BI131" s="249">
        <v>0</v>
      </c>
      <c r="BJ131" s="308" t="s">
        <v>556</v>
      </c>
      <c r="BK131" s="307" t="s">
        <v>750</v>
      </c>
      <c r="BL131" s="319" t="s">
        <v>1728</v>
      </c>
      <c r="BM131" s="320" t="s">
        <v>556</v>
      </c>
      <c r="BN131" s="321" t="s">
        <v>1940</v>
      </c>
      <c r="BO131" s="145" t="s">
        <v>556</v>
      </c>
      <c r="BP131" s="14" t="s">
        <v>556</v>
      </c>
      <c r="BQ131" s="14" t="s">
        <v>556</v>
      </c>
    </row>
    <row r="132" spans="1:70" s="56" customFormat="1" ht="13.95" customHeight="1" x14ac:dyDescent="0.3">
      <c r="A132" s="56" t="s">
        <v>459</v>
      </c>
      <c r="B132" s="57" t="s">
        <v>462</v>
      </c>
      <c r="C132" s="55" t="s">
        <v>252</v>
      </c>
      <c r="D132" s="58">
        <v>7</v>
      </c>
      <c r="E132" s="59" t="s">
        <v>650</v>
      </c>
      <c r="F132" s="60" t="s">
        <v>454</v>
      </c>
      <c r="G132" s="61" t="s">
        <v>242</v>
      </c>
      <c r="H132" s="61" t="s">
        <v>242</v>
      </c>
      <c r="I132" s="62" t="s">
        <v>233</v>
      </c>
      <c r="J132" s="63" t="s">
        <v>1935</v>
      </c>
      <c r="K132" s="99" t="s">
        <v>1294</v>
      </c>
      <c r="L132" s="130">
        <v>491491517</v>
      </c>
      <c r="M132" s="109" t="s">
        <v>564</v>
      </c>
      <c r="N132" s="12" t="s">
        <v>1293</v>
      </c>
      <c r="O132" s="100" t="s">
        <v>1941</v>
      </c>
      <c r="P132" s="131">
        <v>724183740</v>
      </c>
      <c r="Q132" s="67"/>
      <c r="R132" s="68"/>
      <c r="S132" s="99"/>
      <c r="T132" s="65"/>
      <c r="U132" s="170">
        <f>131000+393900</f>
        <v>524900</v>
      </c>
      <c r="V132" s="48">
        <f t="shared" si="17"/>
        <v>714.14965986394554</v>
      </c>
      <c r="W132" s="171">
        <f t="shared" si="18"/>
        <v>426.39922144977356</v>
      </c>
      <c r="X132" s="69">
        <f>114396+60000</f>
        <v>174396</v>
      </c>
      <c r="Y132" s="48">
        <f t="shared" si="19"/>
        <v>237.27346938775511</v>
      </c>
      <c r="Z132" s="137">
        <f t="shared" si="20"/>
        <v>141.66949633064337</v>
      </c>
      <c r="AA132" s="69">
        <v>0</v>
      </c>
      <c r="AB132" s="48">
        <f t="shared" si="21"/>
        <v>0</v>
      </c>
      <c r="AC132" s="137">
        <f t="shared" si="22"/>
        <v>0</v>
      </c>
      <c r="AD132" s="70">
        <f t="shared" si="23"/>
        <v>699296</v>
      </c>
      <c r="AE132" s="71">
        <f t="shared" si="24"/>
        <v>951.42312925170063</v>
      </c>
      <c r="AF132" s="193">
        <f t="shared" si="25"/>
        <v>568.06871778041693</v>
      </c>
      <c r="AG132" s="185">
        <f t="shared" si="26"/>
        <v>1.4277174356880359E-2</v>
      </c>
      <c r="AH132" s="180">
        <f t="shared" si="31"/>
        <v>8.9768421052631581E-2</v>
      </c>
      <c r="AI132" s="189">
        <v>735</v>
      </c>
      <c r="AJ132" s="125">
        <v>1231.0060000000001</v>
      </c>
      <c r="AK132" s="149">
        <v>371</v>
      </c>
      <c r="AL132" s="221">
        <v>208</v>
      </c>
      <c r="AM132" s="216">
        <v>82.181818181818173</v>
      </c>
      <c r="AN132" s="213">
        <v>17.283950617283953</v>
      </c>
      <c r="AO132" s="127">
        <v>9.7959999999999994</v>
      </c>
      <c r="AP132" s="133">
        <v>1.5580000000000001</v>
      </c>
      <c r="AQ132" s="224">
        <f t="shared" si="28"/>
        <v>1.1538461538461537</v>
      </c>
      <c r="AR132" s="158">
        <v>637</v>
      </c>
      <c r="AS132" s="229">
        <f t="shared" si="29"/>
        <v>0.49428379287155344</v>
      </c>
      <c r="AT132" s="230">
        <v>1487</v>
      </c>
      <c r="AU132" s="203">
        <v>14.965986394557824</v>
      </c>
      <c r="AV132" s="204">
        <v>66.394557823129247</v>
      </c>
      <c r="AW132" s="205">
        <v>18.639455782312925</v>
      </c>
      <c r="AX132" s="123">
        <v>5.1020000000000003</v>
      </c>
      <c r="AY132" s="281">
        <v>7.0921985815602842</v>
      </c>
      <c r="AZ132" s="282">
        <v>39.361702127659576</v>
      </c>
      <c r="BA132" s="283">
        <f t="shared" si="30"/>
        <v>53.546099290780141</v>
      </c>
      <c r="BB132" s="234">
        <v>40.645161290322577</v>
      </c>
      <c r="BC132" s="20">
        <v>1999</v>
      </c>
      <c r="BD132" s="263" t="s">
        <v>556</v>
      </c>
      <c r="BE132" s="261" t="s">
        <v>556</v>
      </c>
      <c r="BF132" s="260" t="s">
        <v>557</v>
      </c>
      <c r="BG132" s="257" t="s">
        <v>1686</v>
      </c>
      <c r="BH132" s="248" t="s">
        <v>556</v>
      </c>
      <c r="BI132" s="249">
        <v>70.550161812297731</v>
      </c>
      <c r="BJ132" s="308" t="s">
        <v>556</v>
      </c>
      <c r="BK132" s="307" t="s">
        <v>556</v>
      </c>
      <c r="BL132" s="319" t="s">
        <v>1728</v>
      </c>
      <c r="BM132" s="320" t="s">
        <v>556</v>
      </c>
      <c r="BN132" s="321" t="s">
        <v>1942</v>
      </c>
      <c r="BO132" s="145" t="s">
        <v>556</v>
      </c>
      <c r="BP132" s="14" t="s">
        <v>556</v>
      </c>
      <c r="BQ132" s="14" t="s">
        <v>557</v>
      </c>
    </row>
    <row r="133" spans="1:70" s="56" customFormat="1" ht="13.95" customHeight="1" x14ac:dyDescent="0.3">
      <c r="A133" s="56" t="s">
        <v>459</v>
      </c>
      <c r="B133" s="57" t="s">
        <v>462</v>
      </c>
      <c r="C133" s="55" t="s">
        <v>145</v>
      </c>
      <c r="D133" s="58">
        <v>1</v>
      </c>
      <c r="E133" s="59"/>
      <c r="F133" s="60" t="s">
        <v>453</v>
      </c>
      <c r="G133" s="61" t="s">
        <v>113</v>
      </c>
      <c r="H133" s="61" t="s">
        <v>113</v>
      </c>
      <c r="I133" s="62" t="s">
        <v>113</v>
      </c>
      <c r="J133" s="63" t="s">
        <v>2500</v>
      </c>
      <c r="K133" s="99" t="s">
        <v>1062</v>
      </c>
      <c r="L133" s="130">
        <v>493594121</v>
      </c>
      <c r="M133" s="109" t="s">
        <v>564</v>
      </c>
      <c r="N133" s="12" t="s">
        <v>1061</v>
      </c>
      <c r="O133" s="100"/>
      <c r="P133" s="131">
        <v>728219605</v>
      </c>
      <c r="Q133" s="67"/>
      <c r="R133" s="68"/>
      <c r="S133" s="99"/>
      <c r="T133" s="65"/>
      <c r="U133" s="170">
        <v>283435</v>
      </c>
      <c r="V133" s="48">
        <f t="shared" si="17"/>
        <v>1717.7878787878788</v>
      </c>
      <c r="W133" s="171">
        <f t="shared" si="18"/>
        <v>555.77571630623811</v>
      </c>
      <c r="X133" s="69">
        <v>238500</v>
      </c>
      <c r="Y133" s="48">
        <f t="shared" si="19"/>
        <v>1445.4545454545455</v>
      </c>
      <c r="Z133" s="137">
        <f t="shared" si="20"/>
        <v>467.66457332029489</v>
      </c>
      <c r="AA133" s="69">
        <v>0</v>
      </c>
      <c r="AB133" s="48">
        <f t="shared" si="21"/>
        <v>0</v>
      </c>
      <c r="AC133" s="137">
        <f t="shared" si="22"/>
        <v>0</v>
      </c>
      <c r="AD133" s="70">
        <f t="shared" si="23"/>
        <v>521935</v>
      </c>
      <c r="AE133" s="71">
        <f t="shared" si="24"/>
        <v>3163.242424242424</v>
      </c>
      <c r="AF133" s="193">
        <f t="shared" si="25"/>
        <v>1023.4402896265331</v>
      </c>
      <c r="AG133" s="185">
        <f t="shared" si="26"/>
        <v>3.7428110433847257E-2</v>
      </c>
      <c r="AH133" s="180">
        <f t="shared" si="31"/>
        <v>1.2887283950617283</v>
      </c>
      <c r="AI133" s="189">
        <v>165</v>
      </c>
      <c r="AJ133" s="125">
        <v>509.98090000000002</v>
      </c>
      <c r="AK133" s="149">
        <v>95</v>
      </c>
      <c r="AL133" s="221">
        <v>49</v>
      </c>
      <c r="AM133" s="216">
        <v>100</v>
      </c>
      <c r="AN133" s="213">
        <v>39.784946236559136</v>
      </c>
      <c r="AO133" s="127">
        <v>2.7890000000000001</v>
      </c>
      <c r="AP133" s="133">
        <v>8.1000000000000003E-2</v>
      </c>
      <c r="AQ133" s="224">
        <f t="shared" si="28"/>
        <v>1.1538461538461537</v>
      </c>
      <c r="AR133" s="158">
        <v>143</v>
      </c>
      <c r="AS133" s="229">
        <f t="shared" si="29"/>
        <v>0.39663461538461536</v>
      </c>
      <c r="AT133" s="230">
        <v>416</v>
      </c>
      <c r="AU133" s="203">
        <v>22.424242424242426</v>
      </c>
      <c r="AV133" s="204">
        <v>62.424242424242422</v>
      </c>
      <c r="AW133" s="205">
        <v>15.151515151515152</v>
      </c>
      <c r="AX133" s="123">
        <v>3.8094999999999999</v>
      </c>
      <c r="AY133" s="281">
        <v>8.6206896551724146</v>
      </c>
      <c r="AZ133" s="282">
        <v>55.172413793103445</v>
      </c>
      <c r="BA133" s="283">
        <f t="shared" si="30"/>
        <v>36.206896551724142</v>
      </c>
      <c r="BB133" s="234">
        <v>100</v>
      </c>
      <c r="BC133" s="20">
        <v>2017</v>
      </c>
      <c r="BD133" s="264" t="s">
        <v>557</v>
      </c>
      <c r="BE133" s="261" t="s">
        <v>556</v>
      </c>
      <c r="BF133" s="260" t="s">
        <v>557</v>
      </c>
      <c r="BG133" s="256">
        <v>1.9736842105263157</v>
      </c>
      <c r="BH133" s="254" t="s">
        <v>557</v>
      </c>
      <c r="BI133" s="249">
        <v>0</v>
      </c>
      <c r="BJ133" s="309" t="s">
        <v>557</v>
      </c>
      <c r="BK133" s="307" t="s">
        <v>557</v>
      </c>
      <c r="BL133" s="319" t="s">
        <v>1728</v>
      </c>
      <c r="BM133" s="320" t="s">
        <v>557</v>
      </c>
      <c r="BN133" s="321" t="s">
        <v>1838</v>
      </c>
      <c r="BO133" s="145" t="s">
        <v>557</v>
      </c>
      <c r="BP133" s="14" t="s">
        <v>556</v>
      </c>
      <c r="BQ133" s="14" t="s">
        <v>557</v>
      </c>
      <c r="BR133" s="80"/>
    </row>
    <row r="134" spans="1:70" s="56" customFormat="1" ht="13.95" customHeight="1" x14ac:dyDescent="0.3">
      <c r="A134" s="56" t="s">
        <v>459</v>
      </c>
      <c r="B134" s="57" t="s">
        <v>462</v>
      </c>
      <c r="C134" s="55" t="s">
        <v>327</v>
      </c>
      <c r="D134" s="58">
        <v>1</v>
      </c>
      <c r="E134" s="59"/>
      <c r="F134" s="60" t="s">
        <v>455</v>
      </c>
      <c r="G134" s="61" t="s">
        <v>528</v>
      </c>
      <c r="H134" s="61" t="s">
        <v>528</v>
      </c>
      <c r="I134" s="62" t="s">
        <v>528</v>
      </c>
      <c r="J134" s="63" t="s">
        <v>1943</v>
      </c>
      <c r="K134" s="99" t="s">
        <v>1436</v>
      </c>
      <c r="L134" s="130">
        <v>494533513</v>
      </c>
      <c r="M134" s="109" t="s">
        <v>564</v>
      </c>
      <c r="N134" s="12" t="s">
        <v>1435</v>
      </c>
      <c r="O134" s="100"/>
      <c r="P134" s="131">
        <v>605214211</v>
      </c>
      <c r="Q134" s="67"/>
      <c r="R134" s="68"/>
      <c r="S134" s="99"/>
      <c r="T134" s="112"/>
      <c r="U134" s="170">
        <f>600000+134300</f>
        <v>734300</v>
      </c>
      <c r="V134" s="48">
        <f t="shared" ref="V134:V197" si="32">IF(U134=0,0,U134/AI134)</f>
        <v>6927.3584905660373</v>
      </c>
      <c r="W134" s="171">
        <f t="shared" ref="W134:W197" si="33">IF(U134=0,0,U134/AJ134)</f>
        <v>1726.5833166388741</v>
      </c>
      <c r="X134" s="69">
        <v>20000</v>
      </c>
      <c r="Y134" s="48">
        <f t="shared" ref="Y134:Y197" si="34">IF(X134=0,0,X134/AI134)</f>
        <v>188.67924528301887</v>
      </c>
      <c r="Z134" s="137">
        <f t="shared" ref="Z134:Z197" si="35">IF(X134=0,0,X134/AJ134)</f>
        <v>47.026646238291541</v>
      </c>
      <c r="AA134" s="69">
        <v>0</v>
      </c>
      <c r="AB134" s="48">
        <f t="shared" ref="AB134:AB197" si="36">IF(AA134=0,0,AA134/AI134)</f>
        <v>0</v>
      </c>
      <c r="AC134" s="137">
        <f t="shared" ref="AC134:AC197" si="37">IF(AA134=0,0,AA134/AJ134)</f>
        <v>0</v>
      </c>
      <c r="AD134" s="70">
        <f t="shared" ref="AD134:AD197" si="38">IF(U134+X134+AA134=0,0,U134+X134+AA134)</f>
        <v>754300</v>
      </c>
      <c r="AE134" s="71">
        <f t="shared" ref="AE134:AE197" si="39">IF(AD134=0,0,AD134/AI134)</f>
        <v>7116.0377358490568</v>
      </c>
      <c r="AF134" s="193">
        <f t="shared" ref="AF134:AF197" si="40">IF(AD134=0,0,AD134/AJ134)</f>
        <v>1773.6099628771656</v>
      </c>
      <c r="AG134" s="185">
        <f t="shared" ref="AG134:AG197" si="41">IF(AD134=0,0,1/(AO134*5000000/AD134))</f>
        <v>8.1766937669376691E-2</v>
      </c>
      <c r="AH134" s="180">
        <f t="shared" si="31"/>
        <v>0.12509121061359868</v>
      </c>
      <c r="AI134" s="189">
        <v>106</v>
      </c>
      <c r="AJ134" s="125">
        <v>425.29079999999999</v>
      </c>
      <c r="AK134" s="149">
        <v>48</v>
      </c>
      <c r="AL134" s="221">
        <v>26</v>
      </c>
      <c r="AM134" s="216">
        <v>100</v>
      </c>
      <c r="AN134" s="213">
        <v>2.1276595744680851</v>
      </c>
      <c r="AO134" s="127">
        <v>1.845</v>
      </c>
      <c r="AP134" s="133">
        <v>1.206</v>
      </c>
      <c r="AQ134" s="224">
        <f t="shared" ref="AQ134:AQ197" si="42">AI134/AR134</f>
        <v>1.5588235294117647</v>
      </c>
      <c r="AR134" s="158">
        <v>68</v>
      </c>
      <c r="AS134" s="229">
        <f t="shared" ref="AS134:AS197" si="43">AI134/AT134</f>
        <v>0.83464566929133854</v>
      </c>
      <c r="AT134" s="230">
        <v>127</v>
      </c>
      <c r="AU134" s="203">
        <v>22.641509433962266</v>
      </c>
      <c r="AV134" s="204">
        <v>66.037735849056602</v>
      </c>
      <c r="AW134" s="205">
        <v>11.320754716981133</v>
      </c>
      <c r="AX134" s="123">
        <v>1.3889</v>
      </c>
      <c r="AY134" s="281">
        <v>2.8571428571428572</v>
      </c>
      <c r="AZ134" s="282">
        <v>37.142857142857146</v>
      </c>
      <c r="BA134" s="283">
        <f t="shared" ref="BA134:BA197" si="44">100-AY134-AZ134</f>
        <v>59.999999999999993</v>
      </c>
      <c r="BB134" s="234">
        <v>100</v>
      </c>
      <c r="BC134" s="20">
        <v>2013</v>
      </c>
      <c r="BD134" s="263" t="s">
        <v>556</v>
      </c>
      <c r="BE134" s="262" t="s">
        <v>557</v>
      </c>
      <c r="BF134" s="260" t="s">
        <v>557</v>
      </c>
      <c r="BG134" s="256">
        <v>0</v>
      </c>
      <c r="BH134" s="254" t="s">
        <v>557</v>
      </c>
      <c r="BI134" s="249">
        <v>0</v>
      </c>
      <c r="BJ134" s="309" t="s">
        <v>557</v>
      </c>
      <c r="BK134" s="307" t="s">
        <v>557</v>
      </c>
      <c r="BL134" s="319" t="s">
        <v>557</v>
      </c>
      <c r="BM134" s="320" t="s">
        <v>557</v>
      </c>
      <c r="BN134" s="321" t="s">
        <v>557</v>
      </c>
      <c r="BO134" s="145" t="s">
        <v>557</v>
      </c>
      <c r="BP134" s="14" t="s">
        <v>557</v>
      </c>
      <c r="BQ134" s="14" t="s">
        <v>557</v>
      </c>
    </row>
    <row r="135" spans="1:70" s="56" customFormat="1" ht="13.95" customHeight="1" x14ac:dyDescent="0.3">
      <c r="A135" s="56" t="s">
        <v>459</v>
      </c>
      <c r="B135" s="57" t="s">
        <v>462</v>
      </c>
      <c r="C135" s="55" t="s">
        <v>328</v>
      </c>
      <c r="D135" s="58">
        <v>2</v>
      </c>
      <c r="E135" s="59" t="s">
        <v>694</v>
      </c>
      <c r="F135" s="60" t="s">
        <v>455</v>
      </c>
      <c r="G135" s="61" t="s">
        <v>304</v>
      </c>
      <c r="H135" s="61" t="s">
        <v>304</v>
      </c>
      <c r="I135" s="62" t="s">
        <v>304</v>
      </c>
      <c r="J135" s="63" t="s">
        <v>1944</v>
      </c>
      <c r="K135" s="99" t="s">
        <v>1438</v>
      </c>
      <c r="L135" s="130">
        <v>494665554</v>
      </c>
      <c r="M135" s="109" t="s">
        <v>564</v>
      </c>
      <c r="N135" s="12" t="s">
        <v>1437</v>
      </c>
      <c r="O135" s="100"/>
      <c r="P135" s="131">
        <v>776798930</v>
      </c>
      <c r="Q135" s="67"/>
      <c r="R135" s="68"/>
      <c r="S135" s="99"/>
      <c r="T135" s="112"/>
      <c r="U135" s="170">
        <v>0</v>
      </c>
      <c r="V135" s="48">
        <f t="shared" si="32"/>
        <v>0</v>
      </c>
      <c r="W135" s="171">
        <f t="shared" si="33"/>
        <v>0</v>
      </c>
      <c r="X135" s="69">
        <v>0</v>
      </c>
      <c r="Y135" s="48">
        <f t="shared" si="34"/>
        <v>0</v>
      </c>
      <c r="Z135" s="137">
        <f t="shared" si="35"/>
        <v>0</v>
      </c>
      <c r="AA135" s="69">
        <v>0</v>
      </c>
      <c r="AB135" s="48">
        <f t="shared" si="36"/>
        <v>0</v>
      </c>
      <c r="AC135" s="137">
        <f t="shared" si="37"/>
        <v>0</v>
      </c>
      <c r="AD135" s="70">
        <f t="shared" si="38"/>
        <v>0</v>
      </c>
      <c r="AE135" s="71">
        <f t="shared" si="39"/>
        <v>0</v>
      </c>
      <c r="AF135" s="193">
        <f t="shared" si="40"/>
        <v>0</v>
      </c>
      <c r="AG135" s="185">
        <f t="shared" si="41"/>
        <v>0</v>
      </c>
      <c r="AH135" s="180">
        <f t="shared" si="31"/>
        <v>0</v>
      </c>
      <c r="AI135" s="189">
        <v>112</v>
      </c>
      <c r="AJ135" s="125">
        <v>340.15039999999999</v>
      </c>
      <c r="AK135" s="149">
        <v>87</v>
      </c>
      <c r="AL135" s="221">
        <v>36</v>
      </c>
      <c r="AM135" s="216">
        <v>97.5</v>
      </c>
      <c r="AN135" s="213">
        <v>37.647058823529406</v>
      </c>
      <c r="AO135" s="127">
        <v>1.482</v>
      </c>
      <c r="AP135" s="133">
        <v>0.106</v>
      </c>
      <c r="AQ135" s="224">
        <f t="shared" si="42"/>
        <v>0.99115044247787609</v>
      </c>
      <c r="AR135" s="158">
        <v>113</v>
      </c>
      <c r="AS135" s="229">
        <f t="shared" si="43"/>
        <v>0.29946524064171121</v>
      </c>
      <c r="AT135" s="230">
        <v>374</v>
      </c>
      <c r="AU135" s="203">
        <v>22.321428571428573</v>
      </c>
      <c r="AV135" s="204">
        <v>54.464285714285715</v>
      </c>
      <c r="AW135" s="205">
        <v>23.214285714285715</v>
      </c>
      <c r="AX135" s="123">
        <v>3.3332999999999999</v>
      </c>
      <c r="AY135" s="281">
        <v>7.6923076923076925</v>
      </c>
      <c r="AZ135" s="282">
        <v>46.153846153846153</v>
      </c>
      <c r="BA135" s="283">
        <f t="shared" si="44"/>
        <v>46.153846153846153</v>
      </c>
      <c r="BB135" s="234">
        <v>42.857142857142854</v>
      </c>
      <c r="BC135" s="20">
        <v>2002</v>
      </c>
      <c r="BD135" s="264" t="s">
        <v>557</v>
      </c>
      <c r="BE135" s="262" t="s">
        <v>557</v>
      </c>
      <c r="BF135" s="260" t="s">
        <v>557</v>
      </c>
      <c r="BG135" s="256">
        <v>0</v>
      </c>
      <c r="BH135" s="254" t="s">
        <v>557</v>
      </c>
      <c r="BI135" s="249">
        <v>0</v>
      </c>
      <c r="BJ135" s="309" t="s">
        <v>557</v>
      </c>
      <c r="BK135" s="307" t="s">
        <v>557</v>
      </c>
      <c r="BL135" s="319" t="s">
        <v>1728</v>
      </c>
      <c r="BM135" s="320" t="s">
        <v>556</v>
      </c>
      <c r="BN135" s="321" t="s">
        <v>557</v>
      </c>
      <c r="BO135" s="145" t="s">
        <v>557</v>
      </c>
      <c r="BP135" s="14" t="s">
        <v>556</v>
      </c>
      <c r="BQ135" s="14" t="s">
        <v>557</v>
      </c>
    </row>
    <row r="136" spans="1:70" s="56" customFormat="1" ht="13.95" customHeight="1" x14ac:dyDescent="0.3">
      <c r="A136" s="56" t="s">
        <v>459</v>
      </c>
      <c r="B136" s="77" t="s">
        <v>464</v>
      </c>
      <c r="C136" s="74" t="s">
        <v>412</v>
      </c>
      <c r="D136" s="58">
        <v>1</v>
      </c>
      <c r="E136" s="97" t="s">
        <v>766</v>
      </c>
      <c r="F136" s="60" t="s">
        <v>456</v>
      </c>
      <c r="G136" s="75" t="s">
        <v>378</v>
      </c>
      <c r="H136" s="75" t="s">
        <v>532</v>
      </c>
      <c r="I136" s="76" t="s">
        <v>412</v>
      </c>
      <c r="J136" s="63" t="s">
        <v>1945</v>
      </c>
      <c r="K136" s="99" t="s">
        <v>1946</v>
      </c>
      <c r="L136" s="130">
        <v>499875101</v>
      </c>
      <c r="M136" s="109" t="s">
        <v>564</v>
      </c>
      <c r="N136" s="12" t="s">
        <v>1590</v>
      </c>
      <c r="O136" s="100" t="s">
        <v>1591</v>
      </c>
      <c r="P136" s="131">
        <v>499875273</v>
      </c>
      <c r="Q136" s="84"/>
      <c r="S136" s="105"/>
      <c r="T136" s="112"/>
      <c r="U136" s="170">
        <v>790005</v>
      </c>
      <c r="V136" s="48">
        <f t="shared" si="32"/>
        <v>1083.6831275720165</v>
      </c>
      <c r="W136" s="171">
        <f t="shared" si="33"/>
        <v>575.32886026471942</v>
      </c>
      <c r="X136" s="69">
        <v>7360</v>
      </c>
      <c r="Y136" s="48">
        <f t="shared" si="34"/>
        <v>10.096021947873799</v>
      </c>
      <c r="Z136" s="137">
        <f t="shared" si="35"/>
        <v>5.3599919134035039</v>
      </c>
      <c r="AA136" s="69">
        <v>750000</v>
      </c>
      <c r="AB136" s="48">
        <f t="shared" si="36"/>
        <v>1028.80658436214</v>
      </c>
      <c r="AC136" s="137">
        <f t="shared" si="37"/>
        <v>546.19482813215052</v>
      </c>
      <c r="AD136" s="70">
        <f t="shared" si="38"/>
        <v>1547365</v>
      </c>
      <c r="AE136" s="71">
        <f t="shared" si="39"/>
        <v>2122.5857338820301</v>
      </c>
      <c r="AF136" s="193">
        <f t="shared" si="40"/>
        <v>1126.8836803102736</v>
      </c>
      <c r="AG136" s="185">
        <f t="shared" si="41"/>
        <v>1.2148582868807411E-2</v>
      </c>
      <c r="AH136" s="180">
        <f t="shared" si="31"/>
        <v>6.3993589743589749E-2</v>
      </c>
      <c r="AI136" s="189">
        <v>729</v>
      </c>
      <c r="AJ136" s="126">
        <v>1373.1364000000001</v>
      </c>
      <c r="AK136" s="150">
        <v>303</v>
      </c>
      <c r="AL136" s="221">
        <v>114</v>
      </c>
      <c r="AM136" s="216">
        <v>24.068767908309454</v>
      </c>
      <c r="AN136" s="213">
        <v>18.055555555555557</v>
      </c>
      <c r="AO136" s="128">
        <v>25.474</v>
      </c>
      <c r="AP136" s="134">
        <v>4.8360000000000003</v>
      </c>
      <c r="AQ136" s="224">
        <f t="shared" si="42"/>
        <v>0.75858480749219559</v>
      </c>
      <c r="AR136" s="158">
        <v>961</v>
      </c>
      <c r="AS136" s="229">
        <f t="shared" si="43"/>
        <v>1.0736377025036818</v>
      </c>
      <c r="AT136" s="230">
        <v>679</v>
      </c>
      <c r="AU136" s="203">
        <v>12.620027434842248</v>
      </c>
      <c r="AV136" s="204">
        <v>65.843621399176953</v>
      </c>
      <c r="AW136" s="205">
        <v>21.536351165980797</v>
      </c>
      <c r="AX136" s="123">
        <v>6.0362</v>
      </c>
      <c r="AY136" s="281">
        <v>1.5306122448979591</v>
      </c>
      <c r="AZ136" s="282">
        <v>10.969387755102041</v>
      </c>
      <c r="BA136" s="283">
        <f t="shared" si="44"/>
        <v>87.5</v>
      </c>
      <c r="BB136" s="234">
        <v>14.127423822714682</v>
      </c>
      <c r="BC136" s="20">
        <v>2011</v>
      </c>
      <c r="BD136" s="263" t="s">
        <v>556</v>
      </c>
      <c r="BE136" s="261" t="s">
        <v>556</v>
      </c>
      <c r="BF136" s="259" t="s">
        <v>556</v>
      </c>
      <c r="BG136" s="256">
        <v>89.402173913043484</v>
      </c>
      <c r="BH136" s="248" t="s">
        <v>556</v>
      </c>
      <c r="BI136" s="249">
        <v>10.828025477707007</v>
      </c>
      <c r="BJ136" s="308" t="s">
        <v>556</v>
      </c>
      <c r="BK136" s="307" t="s">
        <v>750</v>
      </c>
      <c r="BL136" s="319" t="s">
        <v>1728</v>
      </c>
      <c r="BM136" s="320" t="s">
        <v>556</v>
      </c>
      <c r="BN136" s="321" t="s">
        <v>2492</v>
      </c>
      <c r="BO136" s="145" t="s">
        <v>556</v>
      </c>
      <c r="BP136" s="14" t="s">
        <v>557</v>
      </c>
      <c r="BQ136" s="14" t="s">
        <v>557</v>
      </c>
    </row>
    <row r="137" spans="1:70" s="56" customFormat="1" ht="13.95" customHeight="1" x14ac:dyDescent="0.3">
      <c r="A137" s="56" t="s">
        <v>460</v>
      </c>
      <c r="B137" s="77" t="s">
        <v>464</v>
      </c>
      <c r="C137" s="74" t="s">
        <v>242</v>
      </c>
      <c r="D137" s="58">
        <v>9</v>
      </c>
      <c r="E137" s="59" t="s">
        <v>755</v>
      </c>
      <c r="F137" s="60" t="s">
        <v>454</v>
      </c>
      <c r="G137" s="75" t="s">
        <v>242</v>
      </c>
      <c r="H137" s="75" t="s">
        <v>242</v>
      </c>
      <c r="I137" s="76" t="s">
        <v>242</v>
      </c>
      <c r="J137" s="63" t="s">
        <v>1949</v>
      </c>
      <c r="K137" s="99" t="s">
        <v>1947</v>
      </c>
      <c r="L137" s="130">
        <v>491847111</v>
      </c>
      <c r="M137" s="109" t="s">
        <v>564</v>
      </c>
      <c r="N137" s="12" t="s">
        <v>1295</v>
      </c>
      <c r="O137" s="100" t="s">
        <v>1296</v>
      </c>
      <c r="P137" s="131" t="s">
        <v>1948</v>
      </c>
      <c r="Q137" s="67"/>
      <c r="R137" s="68"/>
      <c r="S137" s="99"/>
      <c r="T137" s="65"/>
      <c r="U137" s="172">
        <v>0</v>
      </c>
      <c r="V137" s="135">
        <f t="shared" si="32"/>
        <v>0</v>
      </c>
      <c r="W137" s="173">
        <f t="shared" si="33"/>
        <v>0</v>
      </c>
      <c r="X137" s="69">
        <f>1046794+170000+15000+106000</f>
        <v>1337794</v>
      </c>
      <c r="Y137" s="48">
        <f t="shared" si="34"/>
        <v>107.11778364961165</v>
      </c>
      <c r="Z137" s="137">
        <f t="shared" si="35"/>
        <v>558.50429724184551</v>
      </c>
      <c r="AA137" s="69">
        <v>0</v>
      </c>
      <c r="AB137" s="48">
        <f t="shared" si="36"/>
        <v>0</v>
      </c>
      <c r="AC137" s="137">
        <f t="shared" si="37"/>
        <v>0</v>
      </c>
      <c r="AD137" s="70">
        <f t="shared" si="38"/>
        <v>1337794</v>
      </c>
      <c r="AE137" s="71">
        <f t="shared" si="39"/>
        <v>107.11778364961165</v>
      </c>
      <c r="AF137" s="193">
        <f t="shared" si="40"/>
        <v>558.50429724184551</v>
      </c>
      <c r="AG137" s="185">
        <f t="shared" si="41"/>
        <v>1.2362256967546389E-3</v>
      </c>
      <c r="AH137" s="180">
        <f t="shared" si="31"/>
        <v>1.0272154182823358E-2</v>
      </c>
      <c r="AI137" s="189">
        <v>12489</v>
      </c>
      <c r="AJ137" s="126">
        <v>2395.3155000000002</v>
      </c>
      <c r="AK137" s="150">
        <v>2478</v>
      </c>
      <c r="AL137" s="221">
        <v>1842</v>
      </c>
      <c r="AM137" s="216">
        <v>34.426555356787915</v>
      </c>
      <c r="AN137" s="213">
        <v>0.58854076510299469</v>
      </c>
      <c r="AO137" s="128">
        <v>216.43199999999999</v>
      </c>
      <c r="AP137" s="134">
        <v>26.047000000000001</v>
      </c>
      <c r="AQ137" s="224">
        <f t="shared" si="42"/>
        <v>0.99458469379628889</v>
      </c>
      <c r="AR137" s="158">
        <v>12557</v>
      </c>
      <c r="AS137" s="229">
        <f t="shared" si="43"/>
        <v>0.7241679229966369</v>
      </c>
      <c r="AT137" s="230">
        <v>17246</v>
      </c>
      <c r="AU137" s="203">
        <v>15.78989510769477</v>
      </c>
      <c r="AV137" s="204">
        <v>66.258307310433182</v>
      </c>
      <c r="AW137" s="205">
        <v>17.951797581872047</v>
      </c>
      <c r="AX137" s="123">
        <v>6.9306000000000001</v>
      </c>
      <c r="AY137" s="281">
        <v>2.0088004591543909</v>
      </c>
      <c r="AZ137" s="282">
        <v>35.125310885785346</v>
      </c>
      <c r="BA137" s="283">
        <f t="shared" si="44"/>
        <v>62.865888655060267</v>
      </c>
      <c r="BB137" s="234">
        <v>49.613069647463455</v>
      </c>
      <c r="BC137" s="20">
        <v>1998</v>
      </c>
      <c r="BD137" s="263" t="s">
        <v>556</v>
      </c>
      <c r="BE137" s="261" t="s">
        <v>556</v>
      </c>
      <c r="BF137" s="259" t="s">
        <v>556</v>
      </c>
      <c r="BG137" s="256">
        <v>88.962962962962962</v>
      </c>
      <c r="BH137" s="248" t="s">
        <v>556</v>
      </c>
      <c r="BI137" s="249">
        <v>77.362204724409452</v>
      </c>
      <c r="BJ137" s="308" t="s">
        <v>556</v>
      </c>
      <c r="BK137" s="307" t="s">
        <v>556</v>
      </c>
      <c r="BL137" s="319" t="s">
        <v>1777</v>
      </c>
      <c r="BM137" s="320" t="s">
        <v>556</v>
      </c>
      <c r="BN137" s="321" t="s">
        <v>1950</v>
      </c>
      <c r="BO137" s="145" t="s">
        <v>556</v>
      </c>
      <c r="BP137" s="14">
        <v>6</v>
      </c>
      <c r="BQ137" s="14" t="s">
        <v>556</v>
      </c>
    </row>
    <row r="138" spans="1:70" s="56" customFormat="1" ht="13.95" customHeight="1" x14ac:dyDescent="0.3">
      <c r="A138" s="56" t="s">
        <v>459</v>
      </c>
      <c r="B138" s="57" t="s">
        <v>462</v>
      </c>
      <c r="C138" s="55" t="s">
        <v>253</v>
      </c>
      <c r="D138" s="58">
        <v>1</v>
      </c>
      <c r="E138" s="59"/>
      <c r="F138" s="60" t="s">
        <v>454</v>
      </c>
      <c r="G138" s="61" t="s">
        <v>242</v>
      </c>
      <c r="H138" s="61" t="s">
        <v>242</v>
      </c>
      <c r="I138" s="62" t="s">
        <v>242</v>
      </c>
      <c r="J138" s="63" t="s">
        <v>1951</v>
      </c>
      <c r="K138" s="99" t="s">
        <v>1298</v>
      </c>
      <c r="L138" s="130">
        <v>491459256</v>
      </c>
      <c r="M138" s="109" t="s">
        <v>537</v>
      </c>
      <c r="N138" s="12" t="s">
        <v>1297</v>
      </c>
      <c r="O138" s="100"/>
      <c r="P138" s="131">
        <v>724179751</v>
      </c>
      <c r="Q138" s="67"/>
      <c r="R138" s="68"/>
      <c r="S138" s="99"/>
      <c r="T138" s="65"/>
      <c r="U138" s="170">
        <v>280000</v>
      </c>
      <c r="V138" s="48">
        <f t="shared" si="32"/>
        <v>393.81153305203941</v>
      </c>
      <c r="W138" s="171">
        <f t="shared" si="33"/>
        <v>219.82732563571312</v>
      </c>
      <c r="X138" s="69">
        <v>139009</v>
      </c>
      <c r="Y138" s="48">
        <f t="shared" si="34"/>
        <v>195.51195499296765</v>
      </c>
      <c r="Z138" s="137">
        <f t="shared" si="35"/>
        <v>109.13563110462445</v>
      </c>
      <c r="AA138" s="69">
        <v>0</v>
      </c>
      <c r="AB138" s="48">
        <f t="shared" si="36"/>
        <v>0</v>
      </c>
      <c r="AC138" s="137">
        <f t="shared" si="37"/>
        <v>0</v>
      </c>
      <c r="AD138" s="70">
        <f t="shared" si="38"/>
        <v>419009</v>
      </c>
      <c r="AE138" s="71">
        <f t="shared" si="39"/>
        <v>589.32348804500702</v>
      </c>
      <c r="AF138" s="193">
        <f t="shared" si="40"/>
        <v>328.96295674033757</v>
      </c>
      <c r="AG138" s="185">
        <f t="shared" si="41"/>
        <v>1.1145338475861152E-2</v>
      </c>
      <c r="AH138" s="180">
        <f t="shared" ref="AH138:AH169" si="45">IF(AD138=0,0,1/(AP138*5000000/AD138))</f>
        <v>5.3996005154639169E-2</v>
      </c>
      <c r="AI138" s="189">
        <v>711</v>
      </c>
      <c r="AJ138" s="125">
        <v>1273.7270000000001</v>
      </c>
      <c r="AK138" s="149">
        <v>320</v>
      </c>
      <c r="AL138" s="221">
        <v>212</v>
      </c>
      <c r="AM138" s="216">
        <v>91.119691119691112</v>
      </c>
      <c r="AN138" s="213">
        <v>5.4216867469879517</v>
      </c>
      <c r="AO138" s="127">
        <v>7.5190000000000001</v>
      </c>
      <c r="AP138" s="133">
        <v>1.552</v>
      </c>
      <c r="AQ138" s="224">
        <f t="shared" si="42"/>
        <v>1.0230215827338129</v>
      </c>
      <c r="AR138" s="158">
        <v>695</v>
      </c>
      <c r="AS138" s="229">
        <f t="shared" si="43"/>
        <v>0.59597652975691529</v>
      </c>
      <c r="AT138" s="230">
        <v>1193</v>
      </c>
      <c r="AU138" s="203">
        <v>16.033755274261605</v>
      </c>
      <c r="AV138" s="204">
        <v>67.088607594936704</v>
      </c>
      <c r="AW138" s="205">
        <v>16.877637130801688</v>
      </c>
      <c r="AX138" s="123">
        <v>4.3841000000000001</v>
      </c>
      <c r="AY138" s="281">
        <v>3.9007092198581561</v>
      </c>
      <c r="AZ138" s="282">
        <v>37.943262411347519</v>
      </c>
      <c r="BA138" s="283">
        <f t="shared" si="44"/>
        <v>58.156028368794324</v>
      </c>
      <c r="BB138" s="234">
        <v>95.614035087719301</v>
      </c>
      <c r="BC138" s="20">
        <v>2001</v>
      </c>
      <c r="BD138" s="263" t="s">
        <v>556</v>
      </c>
      <c r="BE138" s="261" t="s">
        <v>556</v>
      </c>
      <c r="BF138" s="260" t="s">
        <v>557</v>
      </c>
      <c r="BG138" s="256">
        <v>13.037037037037036</v>
      </c>
      <c r="BH138" s="254" t="s">
        <v>557</v>
      </c>
      <c r="BI138" s="249">
        <v>0</v>
      </c>
      <c r="BJ138" s="308" t="s">
        <v>556</v>
      </c>
      <c r="BK138" s="307" t="s">
        <v>750</v>
      </c>
      <c r="BL138" s="319" t="s">
        <v>1728</v>
      </c>
      <c r="BM138" s="320" t="s">
        <v>556</v>
      </c>
      <c r="BN138" s="321" t="s">
        <v>1849</v>
      </c>
      <c r="BO138" s="145" t="s">
        <v>556</v>
      </c>
      <c r="BP138" s="14" t="s">
        <v>556</v>
      </c>
      <c r="BQ138" s="14" t="s">
        <v>557</v>
      </c>
    </row>
    <row r="139" spans="1:70" s="56" customFormat="1" ht="13.95" customHeight="1" x14ac:dyDescent="0.3">
      <c r="A139" s="56" t="s">
        <v>459</v>
      </c>
      <c r="B139" s="57" t="s">
        <v>462</v>
      </c>
      <c r="C139" s="55" t="s">
        <v>329</v>
      </c>
      <c r="D139" s="58">
        <v>3</v>
      </c>
      <c r="E139" s="59" t="s">
        <v>1220</v>
      </c>
      <c r="F139" s="60" t="s">
        <v>455</v>
      </c>
      <c r="G139" s="61" t="s">
        <v>528</v>
      </c>
      <c r="H139" s="61" t="s">
        <v>528</v>
      </c>
      <c r="I139" s="62" t="s">
        <v>528</v>
      </c>
      <c r="J139" s="63" t="s">
        <v>1953</v>
      </c>
      <c r="K139" s="99" t="s">
        <v>1952</v>
      </c>
      <c r="L139" s="130">
        <v>494545135</v>
      </c>
      <c r="M139" s="109" t="s">
        <v>564</v>
      </c>
      <c r="N139" s="12" t="s">
        <v>1439</v>
      </c>
      <c r="O139" s="100" t="s">
        <v>1440</v>
      </c>
      <c r="P139" s="131">
        <v>737310572</v>
      </c>
      <c r="Q139" s="67"/>
      <c r="R139" s="68"/>
      <c r="S139" s="99"/>
      <c r="T139" s="112"/>
      <c r="U139" s="170">
        <v>398798</v>
      </c>
      <c r="V139" s="48">
        <f t="shared" si="32"/>
        <v>394.84950495049503</v>
      </c>
      <c r="W139" s="171">
        <f t="shared" si="33"/>
        <v>216.62276249508957</v>
      </c>
      <c r="X139" s="69">
        <v>13200</v>
      </c>
      <c r="Y139" s="48">
        <f t="shared" si="34"/>
        <v>13.069306930693068</v>
      </c>
      <c r="Z139" s="137">
        <f t="shared" si="35"/>
        <v>7.1700973047386958</v>
      </c>
      <c r="AA139" s="69">
        <v>0</v>
      </c>
      <c r="AB139" s="48">
        <f t="shared" si="36"/>
        <v>0</v>
      </c>
      <c r="AC139" s="137">
        <f t="shared" si="37"/>
        <v>0</v>
      </c>
      <c r="AD139" s="70">
        <f t="shared" si="38"/>
        <v>411998</v>
      </c>
      <c r="AE139" s="71">
        <f t="shared" si="39"/>
        <v>407.91881188118811</v>
      </c>
      <c r="AF139" s="193">
        <f t="shared" si="40"/>
        <v>223.79285979982828</v>
      </c>
      <c r="AG139" s="185">
        <f t="shared" si="41"/>
        <v>6.6488824336318891E-3</v>
      </c>
      <c r="AH139" s="180">
        <f t="shared" si="45"/>
        <v>1.221458642158316E-2</v>
      </c>
      <c r="AI139" s="189">
        <v>1010</v>
      </c>
      <c r="AJ139" s="125">
        <v>1840.9792</v>
      </c>
      <c r="AK139" s="149">
        <v>469</v>
      </c>
      <c r="AL139" s="221">
        <v>269</v>
      </c>
      <c r="AM139" s="216">
        <v>86.918604651162795</v>
      </c>
      <c r="AN139" s="213">
        <v>16.835699797160245</v>
      </c>
      <c r="AO139" s="127">
        <v>12.393000000000001</v>
      </c>
      <c r="AP139" s="133">
        <v>6.7460000000000004</v>
      </c>
      <c r="AQ139" s="224">
        <f t="shared" si="42"/>
        <v>1.218335343787696</v>
      </c>
      <c r="AR139" s="158">
        <v>829</v>
      </c>
      <c r="AS139" s="229">
        <f t="shared" si="43"/>
        <v>0.63243581715716968</v>
      </c>
      <c r="AT139" s="230">
        <v>1597</v>
      </c>
      <c r="AU139" s="203">
        <v>18.811881188118811</v>
      </c>
      <c r="AV139" s="204">
        <v>64.950495049504951</v>
      </c>
      <c r="AW139" s="205">
        <v>16.237623762376238</v>
      </c>
      <c r="AX139" s="123">
        <v>2.3184</v>
      </c>
      <c r="AY139" s="281">
        <v>7.0588235294117645</v>
      </c>
      <c r="AZ139" s="282">
        <v>38.82352941176471</v>
      </c>
      <c r="BA139" s="283">
        <f t="shared" si="44"/>
        <v>54.117647058823522</v>
      </c>
      <c r="BB139" s="234">
        <v>91.935483870967744</v>
      </c>
      <c r="BC139" s="20">
        <v>2011</v>
      </c>
      <c r="BD139" s="263" t="s">
        <v>556</v>
      </c>
      <c r="BE139" s="261" t="s">
        <v>556</v>
      </c>
      <c r="BF139" s="259" t="s">
        <v>556</v>
      </c>
      <c r="BG139" s="256">
        <v>8.1677704194260485</v>
      </c>
      <c r="BH139" s="254" t="s">
        <v>557</v>
      </c>
      <c r="BI139" s="249">
        <v>0</v>
      </c>
      <c r="BJ139" s="308" t="s">
        <v>556</v>
      </c>
      <c r="BK139" s="307" t="s">
        <v>556</v>
      </c>
      <c r="BL139" s="319" t="s">
        <v>1728</v>
      </c>
      <c r="BM139" s="320" t="s">
        <v>556</v>
      </c>
      <c r="BN139" s="321" t="s">
        <v>1849</v>
      </c>
      <c r="BO139" s="145" t="s">
        <v>556</v>
      </c>
      <c r="BP139" s="14" t="s">
        <v>556</v>
      </c>
      <c r="BQ139" s="14" t="s">
        <v>557</v>
      </c>
    </row>
    <row r="140" spans="1:70" s="56" customFormat="1" ht="13.95" customHeight="1" x14ac:dyDescent="0.3">
      <c r="A140" s="56" t="s">
        <v>459</v>
      </c>
      <c r="B140" s="57" t="s">
        <v>462</v>
      </c>
      <c r="C140" s="55" t="s">
        <v>36</v>
      </c>
      <c r="D140" s="58">
        <v>1</v>
      </c>
      <c r="E140" s="59"/>
      <c r="F140" s="60" t="s">
        <v>452</v>
      </c>
      <c r="G140" s="61" t="s">
        <v>11</v>
      </c>
      <c r="H140" s="61" t="s">
        <v>525</v>
      </c>
      <c r="I140" s="62" t="s">
        <v>525</v>
      </c>
      <c r="J140" s="63" t="s">
        <v>1954</v>
      </c>
      <c r="K140" s="99" t="s">
        <v>839</v>
      </c>
      <c r="L140" s="130">
        <v>495593579</v>
      </c>
      <c r="M140" s="109" t="s">
        <v>537</v>
      </c>
      <c r="N140" s="12" t="s">
        <v>840</v>
      </c>
      <c r="O140" s="100"/>
      <c r="P140" s="131">
        <v>724179758</v>
      </c>
      <c r="Q140" s="67"/>
      <c r="R140" s="68"/>
      <c r="S140" s="99"/>
      <c r="T140" s="65"/>
      <c r="U140" s="170">
        <v>400000</v>
      </c>
      <c r="V140" s="48">
        <f t="shared" si="32"/>
        <v>831.60083160083161</v>
      </c>
      <c r="W140" s="171">
        <f t="shared" si="33"/>
        <v>540.55237425467965</v>
      </c>
      <c r="X140" s="69">
        <v>109000</v>
      </c>
      <c r="Y140" s="48">
        <f t="shared" si="34"/>
        <v>226.61122661122661</v>
      </c>
      <c r="Z140" s="137">
        <f t="shared" si="35"/>
        <v>147.30052198440021</v>
      </c>
      <c r="AA140" s="69">
        <v>0</v>
      </c>
      <c r="AB140" s="48">
        <f t="shared" si="36"/>
        <v>0</v>
      </c>
      <c r="AC140" s="137">
        <f t="shared" si="37"/>
        <v>0</v>
      </c>
      <c r="AD140" s="70">
        <f t="shared" si="38"/>
        <v>509000</v>
      </c>
      <c r="AE140" s="71">
        <f t="shared" si="39"/>
        <v>1058.2120582120583</v>
      </c>
      <c r="AF140" s="193">
        <f t="shared" si="40"/>
        <v>687.85289623907988</v>
      </c>
      <c r="AG140" s="185">
        <f t="shared" si="41"/>
        <v>3.2389436843779831E-2</v>
      </c>
      <c r="AH140" s="180">
        <f t="shared" si="45"/>
        <v>0.20198412698412699</v>
      </c>
      <c r="AI140" s="189">
        <v>481</v>
      </c>
      <c r="AJ140" s="125">
        <v>739.98379999999997</v>
      </c>
      <c r="AK140" s="149">
        <v>213</v>
      </c>
      <c r="AL140" s="221">
        <v>127</v>
      </c>
      <c r="AM140" s="216">
        <v>83.018867924528308</v>
      </c>
      <c r="AN140" s="213">
        <v>8.2568807339449535</v>
      </c>
      <c r="AO140" s="127">
        <v>3.1429999999999998</v>
      </c>
      <c r="AP140" s="133">
        <v>0.504</v>
      </c>
      <c r="AQ140" s="224">
        <f t="shared" si="42"/>
        <v>1.2461139896373057</v>
      </c>
      <c r="AR140" s="158">
        <v>386</v>
      </c>
      <c r="AS140" s="229">
        <f t="shared" si="43"/>
        <v>0.58091787439613529</v>
      </c>
      <c r="AT140" s="230">
        <v>828</v>
      </c>
      <c r="AU140" s="203">
        <v>20.79002079002079</v>
      </c>
      <c r="AV140" s="204">
        <v>63.825363825363823</v>
      </c>
      <c r="AW140" s="205">
        <v>15.384615384615385</v>
      </c>
      <c r="AX140" s="123">
        <v>7.9871999999999996</v>
      </c>
      <c r="AY140" s="281">
        <v>3.3149171270718232</v>
      </c>
      <c r="AZ140" s="282">
        <v>40.883977900552487</v>
      </c>
      <c r="BA140" s="283">
        <f t="shared" si="44"/>
        <v>55.80110497237569</v>
      </c>
      <c r="BB140" s="234">
        <v>93.478260869565219</v>
      </c>
      <c r="BC140" s="20">
        <v>2005</v>
      </c>
      <c r="BD140" s="263" t="s">
        <v>556</v>
      </c>
      <c r="BE140" s="261" t="s">
        <v>556</v>
      </c>
      <c r="BF140" s="260" t="s">
        <v>557</v>
      </c>
      <c r="BG140" s="256">
        <v>6.4285714285714279</v>
      </c>
      <c r="BH140" s="248" t="s">
        <v>556</v>
      </c>
      <c r="BI140" s="249">
        <v>56.127450980392155</v>
      </c>
      <c r="BJ140" s="308" t="s">
        <v>556</v>
      </c>
      <c r="BK140" s="307" t="s">
        <v>557</v>
      </c>
      <c r="BL140" s="319" t="s">
        <v>1728</v>
      </c>
      <c r="BM140" s="320" t="s">
        <v>556</v>
      </c>
      <c r="BN140" s="321" t="s">
        <v>1955</v>
      </c>
      <c r="BO140" s="145" t="s">
        <v>556</v>
      </c>
      <c r="BP140" s="14" t="s">
        <v>556</v>
      </c>
      <c r="BQ140" s="14" t="s">
        <v>557</v>
      </c>
      <c r="BR140" s="72"/>
    </row>
    <row r="141" spans="1:70" s="3" customFormat="1" ht="13.95" customHeight="1" x14ac:dyDescent="0.3">
      <c r="A141" s="56" t="s">
        <v>459</v>
      </c>
      <c r="B141" s="57" t="s">
        <v>462</v>
      </c>
      <c r="C141" s="55" t="s">
        <v>146</v>
      </c>
      <c r="D141" s="58">
        <v>2</v>
      </c>
      <c r="E141" s="59" t="s">
        <v>561</v>
      </c>
      <c r="F141" s="60" t="s">
        <v>453</v>
      </c>
      <c r="G141" s="61" t="s">
        <v>117</v>
      </c>
      <c r="H141" s="61" t="s">
        <v>117</v>
      </c>
      <c r="I141" s="62" t="s">
        <v>117</v>
      </c>
      <c r="J141" s="63" t="s">
        <v>1064</v>
      </c>
      <c r="K141" s="99" t="s">
        <v>1063</v>
      </c>
      <c r="L141" s="130">
        <v>493696123</v>
      </c>
      <c r="M141" s="109" t="s">
        <v>564</v>
      </c>
      <c r="N141" s="12" t="s">
        <v>1956</v>
      </c>
      <c r="O141" s="100"/>
      <c r="P141" s="131">
        <v>724209175</v>
      </c>
      <c r="Q141" s="67"/>
      <c r="R141" s="68"/>
      <c r="S141" s="99"/>
      <c r="T141" s="65"/>
      <c r="U141" s="170">
        <v>0</v>
      </c>
      <c r="V141" s="48">
        <f t="shared" si="32"/>
        <v>0</v>
      </c>
      <c r="W141" s="171">
        <f t="shared" si="33"/>
        <v>0</v>
      </c>
      <c r="X141" s="69">
        <v>0</v>
      </c>
      <c r="Y141" s="48">
        <f t="shared" si="34"/>
        <v>0</v>
      </c>
      <c r="Z141" s="137">
        <f t="shared" si="35"/>
        <v>0</v>
      </c>
      <c r="AA141" s="69">
        <v>0</v>
      </c>
      <c r="AB141" s="48">
        <f t="shared" si="36"/>
        <v>0</v>
      </c>
      <c r="AC141" s="137">
        <f t="shared" si="37"/>
        <v>0</v>
      </c>
      <c r="AD141" s="70">
        <f t="shared" si="38"/>
        <v>0</v>
      </c>
      <c r="AE141" s="71">
        <f t="shared" si="39"/>
        <v>0</v>
      </c>
      <c r="AF141" s="193">
        <f t="shared" si="40"/>
        <v>0</v>
      </c>
      <c r="AG141" s="185">
        <f t="shared" si="41"/>
        <v>0</v>
      </c>
      <c r="AH141" s="180">
        <f t="shared" si="45"/>
        <v>0</v>
      </c>
      <c r="AI141" s="189">
        <v>388</v>
      </c>
      <c r="AJ141" s="125">
        <v>690.82169999999996</v>
      </c>
      <c r="AK141" s="149">
        <v>177</v>
      </c>
      <c r="AL141" s="221">
        <v>116</v>
      </c>
      <c r="AM141" s="216">
        <v>91.729323308270665</v>
      </c>
      <c r="AN141" s="213">
        <v>14.210526315789474</v>
      </c>
      <c r="AO141" s="127">
        <v>3.9630000000000001</v>
      </c>
      <c r="AP141" s="133">
        <v>2.5999999999999999E-2</v>
      </c>
      <c r="AQ141" s="224">
        <f t="shared" si="42"/>
        <v>1.0077922077922077</v>
      </c>
      <c r="AR141" s="158">
        <v>385</v>
      </c>
      <c r="AS141" s="229">
        <f t="shared" si="43"/>
        <v>0.58610271903323263</v>
      </c>
      <c r="AT141" s="230">
        <v>662</v>
      </c>
      <c r="AU141" s="203">
        <v>15.206185567010309</v>
      </c>
      <c r="AV141" s="204">
        <v>70.360824742268051</v>
      </c>
      <c r="AW141" s="205">
        <v>14.432989690721648</v>
      </c>
      <c r="AX141" s="123">
        <v>3.2027999999999999</v>
      </c>
      <c r="AY141" s="281">
        <v>10.857142857142858</v>
      </c>
      <c r="AZ141" s="282">
        <v>33.714285714285715</v>
      </c>
      <c r="BA141" s="283">
        <f t="shared" si="44"/>
        <v>55.428571428571423</v>
      </c>
      <c r="BB141" s="234">
        <v>87.2340425531915</v>
      </c>
      <c r="BC141" s="20">
        <v>2011</v>
      </c>
      <c r="BD141" s="263" t="s">
        <v>556</v>
      </c>
      <c r="BE141" s="261" t="s">
        <v>556</v>
      </c>
      <c r="BF141" s="259" t="s">
        <v>556</v>
      </c>
      <c r="BG141" s="256">
        <v>66.580976863753222</v>
      </c>
      <c r="BH141" s="248" t="s">
        <v>556</v>
      </c>
      <c r="BI141" s="249">
        <v>50.974930362116986</v>
      </c>
      <c r="BJ141" s="308" t="s">
        <v>556</v>
      </c>
      <c r="BK141" s="307" t="s">
        <v>750</v>
      </c>
      <c r="BL141" s="319" t="s">
        <v>1728</v>
      </c>
      <c r="BM141" s="320" t="s">
        <v>556</v>
      </c>
      <c r="BN141" s="321" t="s">
        <v>1957</v>
      </c>
      <c r="BO141" s="145" t="s">
        <v>556</v>
      </c>
      <c r="BP141" s="14" t="s">
        <v>556</v>
      </c>
      <c r="BQ141" s="14" t="s">
        <v>556</v>
      </c>
      <c r="BR141" s="56"/>
    </row>
    <row r="142" spans="1:70" s="3" customFormat="1" ht="13.95" customHeight="1" x14ac:dyDescent="0.3">
      <c r="A142" s="56" t="s">
        <v>459</v>
      </c>
      <c r="B142" s="57" t="s">
        <v>462</v>
      </c>
      <c r="C142" s="55" t="s">
        <v>254</v>
      </c>
      <c r="D142" s="58">
        <v>1</v>
      </c>
      <c r="E142" s="59"/>
      <c r="F142" s="60" t="s">
        <v>454</v>
      </c>
      <c r="G142" s="61" t="s">
        <v>526</v>
      </c>
      <c r="H142" s="61" t="s">
        <v>526</v>
      </c>
      <c r="I142" s="62" t="s">
        <v>526</v>
      </c>
      <c r="J142" s="63" t="s">
        <v>1958</v>
      </c>
      <c r="K142" s="99" t="s">
        <v>1300</v>
      </c>
      <c r="L142" s="130">
        <v>491470560</v>
      </c>
      <c r="M142" s="109" t="s">
        <v>564</v>
      </c>
      <c r="N142" s="12" t="s">
        <v>1299</v>
      </c>
      <c r="O142" s="100"/>
      <c r="P142" s="131">
        <v>776689974</v>
      </c>
      <c r="Q142" s="67"/>
      <c r="R142" s="68"/>
      <c r="S142" s="99"/>
      <c r="T142" s="65"/>
      <c r="U142" s="170">
        <v>442037</v>
      </c>
      <c r="V142" s="48">
        <f t="shared" si="32"/>
        <v>2662.8734939759038</v>
      </c>
      <c r="W142" s="171">
        <f t="shared" si="33"/>
        <v>1028.8182311812427</v>
      </c>
      <c r="X142" s="69">
        <v>0</v>
      </c>
      <c r="Y142" s="48">
        <f t="shared" si="34"/>
        <v>0</v>
      </c>
      <c r="Z142" s="137">
        <f t="shared" si="35"/>
        <v>0</v>
      </c>
      <c r="AA142" s="69">
        <v>0</v>
      </c>
      <c r="AB142" s="48">
        <f t="shared" si="36"/>
        <v>0</v>
      </c>
      <c r="AC142" s="137">
        <f t="shared" si="37"/>
        <v>0</v>
      </c>
      <c r="AD142" s="70">
        <f t="shared" si="38"/>
        <v>442037</v>
      </c>
      <c r="AE142" s="71">
        <f t="shared" si="39"/>
        <v>2662.8734939759038</v>
      </c>
      <c r="AF142" s="193">
        <f t="shared" si="40"/>
        <v>1028.8182311812427</v>
      </c>
      <c r="AG142" s="185">
        <f t="shared" si="41"/>
        <v>6.0264076346284938E-2</v>
      </c>
      <c r="AH142" s="180">
        <f t="shared" si="45"/>
        <v>0.15592134038800706</v>
      </c>
      <c r="AI142" s="189">
        <v>166</v>
      </c>
      <c r="AJ142" s="125">
        <v>429.6551</v>
      </c>
      <c r="AK142" s="149">
        <v>74</v>
      </c>
      <c r="AL142" s="221">
        <v>47</v>
      </c>
      <c r="AM142" s="216">
        <v>100</v>
      </c>
      <c r="AN142" s="213">
        <v>11.999999999999998</v>
      </c>
      <c r="AO142" s="127">
        <v>1.4670000000000001</v>
      </c>
      <c r="AP142" s="133">
        <v>0.56699999999999995</v>
      </c>
      <c r="AQ142" s="224">
        <f t="shared" si="42"/>
        <v>0.94857142857142862</v>
      </c>
      <c r="AR142" s="158">
        <v>175</v>
      </c>
      <c r="AS142" s="229">
        <f t="shared" si="43"/>
        <v>0.94857142857142862</v>
      </c>
      <c r="AT142" s="230">
        <v>175</v>
      </c>
      <c r="AU142" s="203">
        <v>12.650602409638553</v>
      </c>
      <c r="AV142" s="204">
        <v>68.674698795180731</v>
      </c>
      <c r="AW142" s="205">
        <v>18.674698795180721</v>
      </c>
      <c r="AX142" s="123">
        <v>1.6667000000000001</v>
      </c>
      <c r="AY142" s="281">
        <v>6.5789473684210522</v>
      </c>
      <c r="AZ142" s="282">
        <v>53.94736842105263</v>
      </c>
      <c r="BA142" s="283">
        <f t="shared" si="44"/>
        <v>39.473684210526315</v>
      </c>
      <c r="BB142" s="234">
        <v>97.872340425531917</v>
      </c>
      <c r="BC142" s="20">
        <v>2009</v>
      </c>
      <c r="BD142" s="263" t="s">
        <v>556</v>
      </c>
      <c r="BE142" s="261" t="s">
        <v>556</v>
      </c>
      <c r="BF142" s="260" t="s">
        <v>557</v>
      </c>
      <c r="BG142" s="256">
        <v>54.666666666666664</v>
      </c>
      <c r="BH142" s="254" t="s">
        <v>557</v>
      </c>
      <c r="BI142" s="249">
        <v>0</v>
      </c>
      <c r="BJ142" s="309" t="s">
        <v>557</v>
      </c>
      <c r="BK142" s="307" t="s">
        <v>557</v>
      </c>
      <c r="BL142" s="319" t="s">
        <v>1728</v>
      </c>
      <c r="BM142" s="320" t="s">
        <v>556</v>
      </c>
      <c r="BN142" s="321" t="s">
        <v>557</v>
      </c>
      <c r="BO142" s="145" t="s">
        <v>557</v>
      </c>
      <c r="BP142" s="14" t="s">
        <v>557</v>
      </c>
      <c r="BQ142" s="14" t="s">
        <v>557</v>
      </c>
      <c r="BR142" s="72"/>
    </row>
    <row r="143" spans="1:70" s="3" customFormat="1" ht="13.95" customHeight="1" x14ac:dyDescent="0.3">
      <c r="A143" s="56" t="s">
        <v>459</v>
      </c>
      <c r="B143" s="57" t="s">
        <v>462</v>
      </c>
      <c r="C143" s="55" t="s">
        <v>255</v>
      </c>
      <c r="D143" s="58">
        <v>1</v>
      </c>
      <c r="E143" s="59"/>
      <c r="F143" s="60" t="s">
        <v>454</v>
      </c>
      <c r="G143" s="61" t="s">
        <v>223</v>
      </c>
      <c r="H143" s="61" t="s">
        <v>223</v>
      </c>
      <c r="I143" s="62" t="s">
        <v>223</v>
      </c>
      <c r="J143" s="63" t="s">
        <v>1960</v>
      </c>
      <c r="K143" s="99" t="s">
        <v>1302</v>
      </c>
      <c r="L143" s="130">
        <v>491582425</v>
      </c>
      <c r="M143" s="109" t="s">
        <v>564</v>
      </c>
      <c r="N143" s="12" t="s">
        <v>1301</v>
      </c>
      <c r="O143" s="100"/>
      <c r="P143" s="131">
        <v>606878489</v>
      </c>
      <c r="Q143" s="67"/>
      <c r="R143" s="68"/>
      <c r="S143" s="99"/>
      <c r="T143" s="65"/>
      <c r="U143" s="170">
        <v>0</v>
      </c>
      <c r="V143" s="48">
        <f t="shared" si="32"/>
        <v>0</v>
      </c>
      <c r="W143" s="171">
        <f t="shared" si="33"/>
        <v>0</v>
      </c>
      <c r="X143" s="69">
        <v>15810</v>
      </c>
      <c r="Y143" s="48">
        <f t="shared" si="34"/>
        <v>34.900662251655632</v>
      </c>
      <c r="Z143" s="137">
        <f t="shared" si="35"/>
        <v>17.090657669262374</v>
      </c>
      <c r="AA143" s="69">
        <v>0</v>
      </c>
      <c r="AB143" s="48">
        <f t="shared" si="36"/>
        <v>0</v>
      </c>
      <c r="AC143" s="137">
        <f t="shared" si="37"/>
        <v>0</v>
      </c>
      <c r="AD143" s="70">
        <f t="shared" si="38"/>
        <v>15810</v>
      </c>
      <c r="AE143" s="71">
        <f t="shared" si="39"/>
        <v>34.900662251655632</v>
      </c>
      <c r="AF143" s="193">
        <f t="shared" si="40"/>
        <v>17.090657669262374</v>
      </c>
      <c r="AG143" s="185">
        <f t="shared" si="41"/>
        <v>3.4309895833333333E-4</v>
      </c>
      <c r="AH143" s="180">
        <f t="shared" si="45"/>
        <v>5.9863687996970848E-4</v>
      </c>
      <c r="AI143" s="189">
        <v>453</v>
      </c>
      <c r="AJ143" s="125">
        <v>925.06679999999994</v>
      </c>
      <c r="AK143" s="149">
        <v>165</v>
      </c>
      <c r="AL143" s="221">
        <v>111</v>
      </c>
      <c r="AM143" s="216">
        <v>64.117647058823536</v>
      </c>
      <c r="AN143" s="213">
        <v>10.313901345291482</v>
      </c>
      <c r="AO143" s="127">
        <v>9.2159999999999993</v>
      </c>
      <c r="AP143" s="133">
        <v>5.282</v>
      </c>
      <c r="AQ143" s="224">
        <f t="shared" si="42"/>
        <v>1.0318906605922551</v>
      </c>
      <c r="AR143" s="158">
        <v>439</v>
      </c>
      <c r="AS143" s="229">
        <f t="shared" si="43"/>
        <v>0.36473429951690822</v>
      </c>
      <c r="AT143" s="230">
        <v>1242</v>
      </c>
      <c r="AU143" s="203">
        <v>13.686534216335541</v>
      </c>
      <c r="AV143" s="204">
        <v>68.211920529801318</v>
      </c>
      <c r="AW143" s="205">
        <v>18.101545253863137</v>
      </c>
      <c r="AX143" s="123">
        <v>9.4044000000000008</v>
      </c>
      <c r="AY143" s="281">
        <v>5.1136363636363642</v>
      </c>
      <c r="AZ143" s="282">
        <v>46.590909090909086</v>
      </c>
      <c r="BA143" s="283">
        <f t="shared" si="44"/>
        <v>48.295454545454554</v>
      </c>
      <c r="BB143" s="234">
        <v>81.17647058823529</v>
      </c>
      <c r="BC143" s="20">
        <v>2011</v>
      </c>
      <c r="BD143" s="263" t="s">
        <v>556</v>
      </c>
      <c r="BE143" s="261" t="s">
        <v>556</v>
      </c>
      <c r="BF143" s="260" t="s">
        <v>557</v>
      </c>
      <c r="BG143" s="257" t="s">
        <v>1686</v>
      </c>
      <c r="BH143" s="248" t="s">
        <v>556</v>
      </c>
      <c r="BI143" s="249">
        <v>14.399999999999999</v>
      </c>
      <c r="BJ143" s="308" t="s">
        <v>556</v>
      </c>
      <c r="BK143" s="307" t="s">
        <v>750</v>
      </c>
      <c r="BL143" s="319" t="s">
        <v>1728</v>
      </c>
      <c r="BM143" s="320" t="s">
        <v>556</v>
      </c>
      <c r="BN143" s="321" t="s">
        <v>1803</v>
      </c>
      <c r="BO143" s="145" t="s">
        <v>557</v>
      </c>
      <c r="BP143" s="14" t="s">
        <v>557</v>
      </c>
      <c r="BQ143" s="14" t="s">
        <v>557</v>
      </c>
      <c r="BR143" s="56"/>
    </row>
    <row r="144" spans="1:70" s="3" customFormat="1" ht="13.95" customHeight="1" x14ac:dyDescent="0.3">
      <c r="A144" s="56" t="s">
        <v>460</v>
      </c>
      <c r="B144" s="77" t="s">
        <v>464</v>
      </c>
      <c r="C144" s="74" t="s">
        <v>113</v>
      </c>
      <c r="D144" s="58">
        <v>11</v>
      </c>
      <c r="E144" s="59" t="s">
        <v>1690</v>
      </c>
      <c r="F144" s="60" t="s">
        <v>453</v>
      </c>
      <c r="G144" s="75" t="s">
        <v>113</v>
      </c>
      <c r="H144" s="75" t="s">
        <v>113</v>
      </c>
      <c r="I144" s="76" t="s">
        <v>113</v>
      </c>
      <c r="J144" s="63" t="s">
        <v>1964</v>
      </c>
      <c r="K144" s="99" t="s">
        <v>1963</v>
      </c>
      <c r="L144" s="130">
        <v>493545111</v>
      </c>
      <c r="M144" s="109" t="s">
        <v>564</v>
      </c>
      <c r="N144" s="12" t="s">
        <v>1065</v>
      </c>
      <c r="O144" s="100" t="s">
        <v>1066</v>
      </c>
      <c r="P144" s="131" t="s">
        <v>1962</v>
      </c>
      <c r="Q144" s="67"/>
      <c r="R144" s="68"/>
      <c r="S144" s="99"/>
      <c r="T144" s="65"/>
      <c r="U144" s="172">
        <v>0</v>
      </c>
      <c r="V144" s="135">
        <f t="shared" si="32"/>
        <v>0</v>
      </c>
      <c r="W144" s="173">
        <f t="shared" si="33"/>
        <v>0</v>
      </c>
      <c r="X144" s="69">
        <v>1425059</v>
      </c>
      <c r="Y144" s="48">
        <f t="shared" si="34"/>
        <v>86.925643528120048</v>
      </c>
      <c r="Z144" s="137">
        <f t="shared" si="35"/>
        <v>571.12589582397607</v>
      </c>
      <c r="AA144" s="69">
        <v>5231454</v>
      </c>
      <c r="AB144" s="48">
        <f t="shared" si="36"/>
        <v>319.10784433329269</v>
      </c>
      <c r="AC144" s="137">
        <f t="shared" si="37"/>
        <v>2096.6281762452804</v>
      </c>
      <c r="AD144" s="70">
        <f t="shared" si="38"/>
        <v>6656513</v>
      </c>
      <c r="AE144" s="71">
        <f t="shared" si="39"/>
        <v>406.03348786141271</v>
      </c>
      <c r="AF144" s="193">
        <f t="shared" si="40"/>
        <v>2667.7540720692564</v>
      </c>
      <c r="AG144" s="185">
        <f t="shared" si="41"/>
        <v>4.1606976882279951E-3</v>
      </c>
      <c r="AH144" s="180">
        <f t="shared" si="45"/>
        <v>1.3279429044517371E-2</v>
      </c>
      <c r="AI144" s="189">
        <v>16394</v>
      </c>
      <c r="AJ144" s="126">
        <v>2495.1749</v>
      </c>
      <c r="AK144" s="150">
        <v>2967</v>
      </c>
      <c r="AL144" s="221">
        <v>2356</v>
      </c>
      <c r="AM144" s="216">
        <v>33.012298118239741</v>
      </c>
      <c r="AN144" s="213">
        <v>1.6456029489204846</v>
      </c>
      <c r="AO144" s="128">
        <v>319.971</v>
      </c>
      <c r="AP144" s="134">
        <v>100.253</v>
      </c>
      <c r="AQ144" s="224">
        <f t="shared" si="42"/>
        <v>0.97565910849253112</v>
      </c>
      <c r="AR144" s="158">
        <v>16803</v>
      </c>
      <c r="AS144" s="229">
        <f t="shared" si="43"/>
        <v>1.2945356917245736</v>
      </c>
      <c r="AT144" s="230">
        <v>12664</v>
      </c>
      <c r="AU144" s="203">
        <v>15.170184213736734</v>
      </c>
      <c r="AV144" s="204">
        <v>65.749664511406621</v>
      </c>
      <c r="AW144" s="205">
        <v>19.080151274856654</v>
      </c>
      <c r="AX144" s="123">
        <v>3.2364999999999999</v>
      </c>
      <c r="AY144" s="281">
        <v>1.5088796902123114</v>
      </c>
      <c r="AZ144" s="282">
        <v>31.232474295633594</v>
      </c>
      <c r="BA144" s="283">
        <f t="shared" si="44"/>
        <v>67.258646014154095</v>
      </c>
      <c r="BB144" s="234">
        <v>25.31963470319635</v>
      </c>
      <c r="BC144" s="20">
        <v>2010</v>
      </c>
      <c r="BD144" s="263" t="s">
        <v>556</v>
      </c>
      <c r="BE144" s="261" t="s">
        <v>556</v>
      </c>
      <c r="BF144" s="259" t="s">
        <v>556</v>
      </c>
      <c r="BG144" s="256">
        <v>95.785129135138519</v>
      </c>
      <c r="BH144" s="248" t="s">
        <v>556</v>
      </c>
      <c r="BI144" s="249">
        <v>87.43715224240799</v>
      </c>
      <c r="BJ144" s="311" t="s">
        <v>1966</v>
      </c>
      <c r="BK144" s="307" t="s">
        <v>556</v>
      </c>
      <c r="BL144" s="319" t="s">
        <v>1777</v>
      </c>
      <c r="BM144" s="320" t="s">
        <v>556</v>
      </c>
      <c r="BN144" s="321" t="s">
        <v>2493</v>
      </c>
      <c r="BO144" s="145" t="s">
        <v>556</v>
      </c>
      <c r="BP144" s="14">
        <v>5</v>
      </c>
      <c r="BQ144" s="14" t="s">
        <v>556</v>
      </c>
      <c r="BR144" s="56"/>
    </row>
    <row r="145" spans="1:70" s="56" customFormat="1" ht="13.95" customHeight="1" x14ac:dyDescent="0.3">
      <c r="A145" s="56" t="s">
        <v>459</v>
      </c>
      <c r="B145" s="57" t="s">
        <v>462</v>
      </c>
      <c r="C145" s="55" t="s">
        <v>147</v>
      </c>
      <c r="D145" s="58">
        <v>6</v>
      </c>
      <c r="E145" s="59" t="s">
        <v>577</v>
      </c>
      <c r="F145" s="60" t="s">
        <v>453</v>
      </c>
      <c r="G145" s="61" t="s">
        <v>113</v>
      </c>
      <c r="H145" s="61" t="s">
        <v>113</v>
      </c>
      <c r="I145" s="62" t="s">
        <v>113</v>
      </c>
      <c r="J145" s="63" t="s">
        <v>1965</v>
      </c>
      <c r="K145" s="99" t="s">
        <v>1067</v>
      </c>
      <c r="L145" s="130">
        <v>493557138</v>
      </c>
      <c r="M145" s="109" t="s">
        <v>564</v>
      </c>
      <c r="N145" s="12" t="s">
        <v>1068</v>
      </c>
      <c r="O145" s="100"/>
      <c r="P145" s="131">
        <v>603764308</v>
      </c>
      <c r="Q145" s="67"/>
      <c r="R145" s="68"/>
      <c r="S145" s="99"/>
      <c r="T145" s="65"/>
      <c r="U145" s="170">
        <f>570000+227645</f>
        <v>797645</v>
      </c>
      <c r="V145" s="48">
        <f t="shared" si="32"/>
        <v>1404.3045774647887</v>
      </c>
      <c r="W145" s="171">
        <f t="shared" si="33"/>
        <v>469.95672411744175</v>
      </c>
      <c r="X145" s="69">
        <v>450000</v>
      </c>
      <c r="Y145" s="48">
        <f t="shared" si="34"/>
        <v>792.25352112676057</v>
      </c>
      <c r="Z145" s="137">
        <f t="shared" si="35"/>
        <v>265.13113710090175</v>
      </c>
      <c r="AA145" s="69">
        <v>0</v>
      </c>
      <c r="AB145" s="48">
        <f t="shared" si="36"/>
        <v>0</v>
      </c>
      <c r="AC145" s="137">
        <f t="shared" si="37"/>
        <v>0</v>
      </c>
      <c r="AD145" s="70">
        <f t="shared" si="38"/>
        <v>1247645</v>
      </c>
      <c r="AE145" s="71">
        <f t="shared" si="39"/>
        <v>2196.5580985915494</v>
      </c>
      <c r="AF145" s="193">
        <f t="shared" si="40"/>
        <v>735.08786121834351</v>
      </c>
      <c r="AG145" s="185">
        <f t="shared" si="41"/>
        <v>2.0893326634848865E-2</v>
      </c>
      <c r="AH145" s="180">
        <f t="shared" si="45"/>
        <v>4.618341662039608E-2</v>
      </c>
      <c r="AI145" s="189">
        <v>568</v>
      </c>
      <c r="AJ145" s="125">
        <v>1697.2733000000001</v>
      </c>
      <c r="AK145" s="149">
        <v>336</v>
      </c>
      <c r="AL145" s="221">
        <v>167</v>
      </c>
      <c r="AM145" s="216">
        <v>87.301587301587304</v>
      </c>
      <c r="AN145" s="213">
        <v>32.024169184290031</v>
      </c>
      <c r="AO145" s="127">
        <v>11.943</v>
      </c>
      <c r="AP145" s="133">
        <v>5.4029999999999996</v>
      </c>
      <c r="AQ145" s="224">
        <f t="shared" si="42"/>
        <v>0.86585365853658536</v>
      </c>
      <c r="AR145" s="158">
        <v>656</v>
      </c>
      <c r="AS145" s="229">
        <f t="shared" si="43"/>
        <v>0.40922190201729108</v>
      </c>
      <c r="AT145" s="230">
        <v>1388</v>
      </c>
      <c r="AU145" s="203">
        <v>12.676056338028168</v>
      </c>
      <c r="AV145" s="204">
        <v>68.838028169014095</v>
      </c>
      <c r="AW145" s="205">
        <v>18.485915492957748</v>
      </c>
      <c r="AX145" s="123">
        <v>2.7848000000000002</v>
      </c>
      <c r="AY145" s="281">
        <v>7.5555555555555554</v>
      </c>
      <c r="AZ145" s="282">
        <v>37.777777777777779</v>
      </c>
      <c r="BA145" s="283">
        <f t="shared" si="44"/>
        <v>54.666666666666664</v>
      </c>
      <c r="BB145" s="234">
        <v>90</v>
      </c>
      <c r="BC145" s="20">
        <v>2011</v>
      </c>
      <c r="BD145" s="263" t="s">
        <v>556</v>
      </c>
      <c r="BE145" s="261" t="s">
        <v>556</v>
      </c>
      <c r="BF145" s="260" t="s">
        <v>557</v>
      </c>
      <c r="BG145" s="256">
        <v>12.727272727272727</v>
      </c>
      <c r="BH145" s="248" t="s">
        <v>556</v>
      </c>
      <c r="BI145" s="249">
        <v>42.226487523992326</v>
      </c>
      <c r="BJ145" s="308" t="s">
        <v>556</v>
      </c>
      <c r="BK145" s="307" t="s">
        <v>750</v>
      </c>
      <c r="BL145" s="319" t="s">
        <v>1728</v>
      </c>
      <c r="BM145" s="320" t="s">
        <v>556</v>
      </c>
      <c r="BN145" s="321" t="s">
        <v>1803</v>
      </c>
      <c r="BO145" s="145" t="s">
        <v>998</v>
      </c>
      <c r="BP145" s="14">
        <v>3</v>
      </c>
      <c r="BQ145" s="14" t="s">
        <v>556</v>
      </c>
    </row>
    <row r="146" spans="1:70" s="56" customFormat="1" ht="13.95" customHeight="1" x14ac:dyDescent="0.3">
      <c r="A146" s="3" t="s">
        <v>459</v>
      </c>
      <c r="B146" s="57" t="s">
        <v>462</v>
      </c>
      <c r="C146" s="55" t="s">
        <v>37</v>
      </c>
      <c r="D146" s="58">
        <v>1</v>
      </c>
      <c r="E146" s="59"/>
      <c r="F146" s="60" t="s">
        <v>452</v>
      </c>
      <c r="G146" s="61" t="s">
        <v>11</v>
      </c>
      <c r="H146" s="61" t="s">
        <v>525</v>
      </c>
      <c r="I146" s="62" t="s">
        <v>38</v>
      </c>
      <c r="J146" s="117" t="s">
        <v>568</v>
      </c>
      <c r="K146" s="100" t="s">
        <v>562</v>
      </c>
      <c r="L146" s="131" t="s">
        <v>569</v>
      </c>
      <c r="M146" s="109" t="s">
        <v>564</v>
      </c>
      <c r="N146" s="12" t="s">
        <v>565</v>
      </c>
      <c r="O146" s="100" t="s">
        <v>563</v>
      </c>
      <c r="P146" s="131" t="s">
        <v>566</v>
      </c>
      <c r="Q146" s="67" t="s">
        <v>564</v>
      </c>
      <c r="R146" s="12" t="s">
        <v>565</v>
      </c>
      <c r="S146" s="100" t="s">
        <v>563</v>
      </c>
      <c r="T146" s="131" t="s">
        <v>566</v>
      </c>
      <c r="U146" s="170">
        <v>600000</v>
      </c>
      <c r="V146" s="48">
        <f t="shared" si="32"/>
        <v>1948.0519480519481</v>
      </c>
      <c r="W146" s="171">
        <f t="shared" si="33"/>
        <v>1644.5001747281435</v>
      </c>
      <c r="X146" s="69">
        <v>33000</v>
      </c>
      <c r="Y146" s="48">
        <f t="shared" si="34"/>
        <v>107.14285714285714</v>
      </c>
      <c r="Z146" s="137">
        <f t="shared" si="35"/>
        <v>90.447509610047888</v>
      </c>
      <c r="AA146" s="69">
        <v>450000</v>
      </c>
      <c r="AB146" s="48">
        <f t="shared" si="36"/>
        <v>1461.0389610389611</v>
      </c>
      <c r="AC146" s="137">
        <f t="shared" si="37"/>
        <v>1233.3751310461075</v>
      </c>
      <c r="AD146" s="70">
        <f t="shared" si="38"/>
        <v>1083000</v>
      </c>
      <c r="AE146" s="71">
        <f t="shared" si="39"/>
        <v>3516.2337662337663</v>
      </c>
      <c r="AF146" s="193">
        <f t="shared" si="40"/>
        <v>2968.3228153842988</v>
      </c>
      <c r="AG146" s="185">
        <f t="shared" si="41"/>
        <v>6.5084134615384606E-2</v>
      </c>
      <c r="AH146" s="180">
        <f t="shared" si="45"/>
        <v>0.66036585365853662</v>
      </c>
      <c r="AI146" s="189">
        <v>308</v>
      </c>
      <c r="AJ146" s="125">
        <v>364.85250000000002</v>
      </c>
      <c r="AK146" s="149">
        <v>126</v>
      </c>
      <c r="AL146" s="221">
        <v>75</v>
      </c>
      <c r="AM146" s="216">
        <v>88.541666666666657</v>
      </c>
      <c r="AN146" s="213">
        <v>9.8484848484848495</v>
      </c>
      <c r="AO146" s="127">
        <v>3.3279999999999998</v>
      </c>
      <c r="AP146" s="133">
        <v>0.32800000000000001</v>
      </c>
      <c r="AQ146" s="224">
        <f t="shared" si="42"/>
        <v>1.2727272727272727</v>
      </c>
      <c r="AR146" s="158">
        <v>242</v>
      </c>
      <c r="AS146" s="229">
        <f t="shared" si="43"/>
        <v>0.71794871794871795</v>
      </c>
      <c r="AT146" s="230">
        <v>429</v>
      </c>
      <c r="AU146" s="203">
        <v>16.233766233766232</v>
      </c>
      <c r="AV146" s="204">
        <v>68.831168831168839</v>
      </c>
      <c r="AW146" s="205">
        <v>14.935064935064934</v>
      </c>
      <c r="AX146" s="123">
        <v>3.7383000000000002</v>
      </c>
      <c r="AY146" s="281">
        <v>11.612903225806452</v>
      </c>
      <c r="AZ146" s="282">
        <v>36.129032258064512</v>
      </c>
      <c r="BA146" s="283">
        <f t="shared" si="44"/>
        <v>52.258064516129039</v>
      </c>
      <c r="BB146" s="234">
        <v>100</v>
      </c>
      <c r="BC146" s="19">
        <v>2017</v>
      </c>
      <c r="BD146" s="263" t="s">
        <v>556</v>
      </c>
      <c r="BE146" s="261" t="s">
        <v>556</v>
      </c>
      <c r="BF146" s="259" t="s">
        <v>556</v>
      </c>
      <c r="BG146" s="256">
        <v>18.627450980392158</v>
      </c>
      <c r="BH146" s="248" t="s">
        <v>556</v>
      </c>
      <c r="BI146" s="249">
        <v>42.320819112627987</v>
      </c>
      <c r="BJ146" s="309" t="s">
        <v>557</v>
      </c>
      <c r="BK146" s="307" t="s">
        <v>557</v>
      </c>
      <c r="BL146" s="319" t="s">
        <v>1728</v>
      </c>
      <c r="BM146" s="320" t="s">
        <v>556</v>
      </c>
      <c r="BN146" s="321" t="s">
        <v>567</v>
      </c>
      <c r="BO146" s="21" t="s">
        <v>556</v>
      </c>
      <c r="BP146" s="10" t="s">
        <v>557</v>
      </c>
      <c r="BQ146" s="10" t="s">
        <v>557</v>
      </c>
      <c r="BR146" s="3"/>
    </row>
    <row r="147" spans="1:70" s="56" customFormat="1" ht="13.95" customHeight="1" x14ac:dyDescent="0.3">
      <c r="A147" s="56" t="s">
        <v>459</v>
      </c>
      <c r="B147" s="57" t="s">
        <v>462</v>
      </c>
      <c r="C147" s="55" t="s">
        <v>148</v>
      </c>
      <c r="D147" s="58">
        <v>1</v>
      </c>
      <c r="E147" s="97" t="s">
        <v>615</v>
      </c>
      <c r="F147" s="60" t="s">
        <v>453</v>
      </c>
      <c r="G147" s="61" t="s">
        <v>113</v>
      </c>
      <c r="H147" s="61" t="s">
        <v>113</v>
      </c>
      <c r="I147" s="62" t="s">
        <v>113</v>
      </c>
      <c r="J147" s="63" t="s">
        <v>2501</v>
      </c>
      <c r="K147" s="99" t="s">
        <v>1070</v>
      </c>
      <c r="L147" s="130">
        <v>493591138</v>
      </c>
      <c r="M147" s="109" t="s">
        <v>564</v>
      </c>
      <c r="N147" s="12" t="s">
        <v>1069</v>
      </c>
      <c r="O147" s="100"/>
      <c r="P147" s="131">
        <v>604293433</v>
      </c>
      <c r="Q147" s="67"/>
      <c r="R147" s="68"/>
      <c r="S147" s="99"/>
      <c r="T147" s="65"/>
      <c r="U147" s="170">
        <v>0</v>
      </c>
      <c r="V147" s="48">
        <f t="shared" si="32"/>
        <v>0</v>
      </c>
      <c r="W147" s="171">
        <f t="shared" si="33"/>
        <v>0</v>
      </c>
      <c r="X147" s="69">
        <v>113740</v>
      </c>
      <c r="Y147" s="48">
        <f t="shared" si="34"/>
        <v>605</v>
      </c>
      <c r="Z147" s="137">
        <f t="shared" si="35"/>
        <v>529.32952834104947</v>
      </c>
      <c r="AA147" s="69">
        <v>0</v>
      </c>
      <c r="AB147" s="48">
        <f t="shared" si="36"/>
        <v>0</v>
      </c>
      <c r="AC147" s="137">
        <f t="shared" si="37"/>
        <v>0</v>
      </c>
      <c r="AD147" s="70">
        <f t="shared" si="38"/>
        <v>113740</v>
      </c>
      <c r="AE147" s="71">
        <f t="shared" si="39"/>
        <v>605</v>
      </c>
      <c r="AF147" s="193">
        <f t="shared" si="40"/>
        <v>529.32952834104947</v>
      </c>
      <c r="AG147" s="185">
        <f t="shared" si="41"/>
        <v>1.700149476831091E-2</v>
      </c>
      <c r="AH147" s="180">
        <f t="shared" si="45"/>
        <v>1.7498461538461541</v>
      </c>
      <c r="AI147" s="189">
        <v>188</v>
      </c>
      <c r="AJ147" s="125">
        <v>214.87559999999999</v>
      </c>
      <c r="AK147" s="149">
        <v>84</v>
      </c>
      <c r="AL147" s="221">
        <v>58</v>
      </c>
      <c r="AM147" s="216">
        <v>96.825396825396822</v>
      </c>
      <c r="AN147" s="213">
        <v>13.953488372093023</v>
      </c>
      <c r="AO147" s="127">
        <v>1.3380000000000001</v>
      </c>
      <c r="AP147" s="133">
        <v>1.2999999999999999E-2</v>
      </c>
      <c r="AQ147" s="224">
        <f t="shared" si="42"/>
        <v>1.1677018633540373</v>
      </c>
      <c r="AR147" s="158">
        <v>161</v>
      </c>
      <c r="AS147" s="229">
        <f t="shared" si="43"/>
        <v>0.8</v>
      </c>
      <c r="AT147" s="230">
        <v>235</v>
      </c>
      <c r="AU147" s="203">
        <v>12.76595744680851</v>
      </c>
      <c r="AV147" s="204">
        <v>70.212765957446805</v>
      </c>
      <c r="AW147" s="205">
        <v>17.021276595744681</v>
      </c>
      <c r="AX147" s="123">
        <v>2.9851000000000001</v>
      </c>
      <c r="AY147" s="281">
        <v>5.8139534883720927</v>
      </c>
      <c r="AZ147" s="282">
        <v>44.186046511627907</v>
      </c>
      <c r="BA147" s="283">
        <f t="shared" si="44"/>
        <v>50</v>
      </c>
      <c r="BB147" s="234">
        <v>94.871794871794862</v>
      </c>
      <c r="BC147" s="19">
        <v>2018</v>
      </c>
      <c r="BD147" s="263" t="s">
        <v>556</v>
      </c>
      <c r="BE147" s="261" t="s">
        <v>556</v>
      </c>
      <c r="BF147" s="260" t="s">
        <v>557</v>
      </c>
      <c r="BG147" s="256">
        <v>8.9887640449438209</v>
      </c>
      <c r="BH147" s="254" t="s">
        <v>557</v>
      </c>
      <c r="BI147" s="249">
        <v>0</v>
      </c>
      <c r="BJ147" s="308" t="s">
        <v>556</v>
      </c>
      <c r="BK147" s="307" t="s">
        <v>557</v>
      </c>
      <c r="BL147" s="319" t="s">
        <v>1728</v>
      </c>
      <c r="BM147" s="320" t="s">
        <v>556</v>
      </c>
      <c r="BN147" s="321" t="s">
        <v>557</v>
      </c>
      <c r="BO147" s="145" t="s">
        <v>557</v>
      </c>
      <c r="BP147" s="10" t="s">
        <v>556</v>
      </c>
      <c r="BQ147" s="10" t="s">
        <v>556</v>
      </c>
      <c r="BR147" s="72"/>
    </row>
    <row r="148" spans="1:70" s="72" customFormat="1" ht="13.95" customHeight="1" x14ac:dyDescent="0.3">
      <c r="A148" s="56" t="s">
        <v>459</v>
      </c>
      <c r="B148" s="57" t="s">
        <v>462</v>
      </c>
      <c r="C148" s="55" t="s">
        <v>413</v>
      </c>
      <c r="D148" s="58">
        <v>1</v>
      </c>
      <c r="E148" s="97" t="s">
        <v>1001</v>
      </c>
      <c r="F148" s="60" t="s">
        <v>456</v>
      </c>
      <c r="G148" s="61" t="s">
        <v>378</v>
      </c>
      <c r="H148" s="61" t="s">
        <v>378</v>
      </c>
      <c r="I148" s="62" t="s">
        <v>378</v>
      </c>
      <c r="J148" s="63" t="s">
        <v>1961</v>
      </c>
      <c r="K148" s="99" t="s">
        <v>1593</v>
      </c>
      <c r="L148" s="130">
        <v>499897931</v>
      </c>
      <c r="M148" s="109" t="s">
        <v>564</v>
      </c>
      <c r="N148" s="12" t="s">
        <v>1592</v>
      </c>
      <c r="O148" s="100"/>
      <c r="P148" s="131">
        <v>776249700</v>
      </c>
      <c r="Q148" s="84"/>
      <c r="R148" s="56"/>
      <c r="S148" s="105"/>
      <c r="T148" s="112"/>
      <c r="U148" s="170">
        <v>60000</v>
      </c>
      <c r="V148" s="48">
        <f t="shared" si="32"/>
        <v>110.70110701107011</v>
      </c>
      <c r="W148" s="171">
        <f t="shared" si="33"/>
        <v>18.758041924286228</v>
      </c>
      <c r="X148" s="69">
        <v>1208860</v>
      </c>
      <c r="Y148" s="48">
        <f t="shared" si="34"/>
        <v>2230.3690036900371</v>
      </c>
      <c r="Z148" s="137">
        <f t="shared" si="35"/>
        <v>377.93077600987749</v>
      </c>
      <c r="AA148" s="69">
        <v>0</v>
      </c>
      <c r="AB148" s="48">
        <f t="shared" si="36"/>
        <v>0</v>
      </c>
      <c r="AC148" s="137">
        <f t="shared" si="37"/>
        <v>0</v>
      </c>
      <c r="AD148" s="70">
        <f t="shared" si="38"/>
        <v>1268860</v>
      </c>
      <c r="AE148" s="71">
        <f t="shared" si="39"/>
        <v>2341.0701107011068</v>
      </c>
      <c r="AF148" s="193">
        <f t="shared" si="40"/>
        <v>396.68881793416375</v>
      </c>
      <c r="AG148" s="185">
        <f t="shared" si="41"/>
        <v>2.5784596626701892E-2</v>
      </c>
      <c r="AH148" s="180">
        <f t="shared" si="45"/>
        <v>0.12194714079769341</v>
      </c>
      <c r="AI148" s="189">
        <v>542</v>
      </c>
      <c r="AJ148" s="125">
        <v>3198.6280999999999</v>
      </c>
      <c r="AK148" s="149">
        <v>382</v>
      </c>
      <c r="AL148" s="221">
        <v>161</v>
      </c>
      <c r="AM148" s="216">
        <v>72.935779816513758</v>
      </c>
      <c r="AN148" s="213">
        <v>15.034965034965035</v>
      </c>
      <c r="AO148" s="127">
        <v>9.8420000000000005</v>
      </c>
      <c r="AP148" s="133">
        <v>2.081</v>
      </c>
      <c r="AQ148" s="224">
        <f t="shared" si="42"/>
        <v>0.85759493670886078</v>
      </c>
      <c r="AR148" s="158">
        <v>632</v>
      </c>
      <c r="AS148" s="229">
        <f t="shared" si="43"/>
        <v>0.25469924812030076</v>
      </c>
      <c r="AT148" s="230">
        <v>2128</v>
      </c>
      <c r="AU148" s="203">
        <v>17.158671586715869</v>
      </c>
      <c r="AV148" s="204">
        <v>62.730627306273064</v>
      </c>
      <c r="AW148" s="205">
        <v>20.110701107011071</v>
      </c>
      <c r="AX148" s="123">
        <v>3.4091</v>
      </c>
      <c r="AY148" s="281">
        <v>2.1739130434782608</v>
      </c>
      <c r="AZ148" s="282">
        <v>55.434782608695656</v>
      </c>
      <c r="BA148" s="283">
        <f t="shared" si="44"/>
        <v>42.391304347826079</v>
      </c>
      <c r="BB148" s="234">
        <v>56.36363636363636</v>
      </c>
      <c r="BC148" s="20">
        <v>2017</v>
      </c>
      <c r="BD148" s="263" t="s">
        <v>556</v>
      </c>
      <c r="BE148" s="261" t="s">
        <v>556</v>
      </c>
      <c r="BF148" s="259" t="s">
        <v>556</v>
      </c>
      <c r="BG148" s="256">
        <v>36.381709741550694</v>
      </c>
      <c r="BH148" s="254" t="s">
        <v>557</v>
      </c>
      <c r="BI148" s="249">
        <v>0</v>
      </c>
      <c r="BJ148" s="308" t="s">
        <v>556</v>
      </c>
      <c r="BK148" s="307" t="s">
        <v>557</v>
      </c>
      <c r="BL148" s="319" t="s">
        <v>1728</v>
      </c>
      <c r="BM148" s="320" t="s">
        <v>556</v>
      </c>
      <c r="BN148" s="321" t="s">
        <v>1967</v>
      </c>
      <c r="BO148" s="145" t="s">
        <v>556</v>
      </c>
      <c r="BP148" s="14">
        <v>2</v>
      </c>
      <c r="BQ148" s="14" t="s">
        <v>556</v>
      </c>
      <c r="BR148" s="56"/>
    </row>
    <row r="149" spans="1:70" s="56" customFormat="1" ht="13.95" customHeight="1" x14ac:dyDescent="0.3">
      <c r="A149" s="56" t="s">
        <v>459</v>
      </c>
      <c r="B149" s="57" t="s">
        <v>462</v>
      </c>
      <c r="C149" s="55" t="s">
        <v>149</v>
      </c>
      <c r="D149" s="58">
        <v>2</v>
      </c>
      <c r="E149" s="59" t="s">
        <v>578</v>
      </c>
      <c r="F149" s="60" t="s">
        <v>453</v>
      </c>
      <c r="G149" s="61" t="s">
        <v>113</v>
      </c>
      <c r="H149" s="61" t="s">
        <v>113</v>
      </c>
      <c r="I149" s="62" t="s">
        <v>113</v>
      </c>
      <c r="J149" s="63" t="s">
        <v>1968</v>
      </c>
      <c r="K149" s="99" t="s">
        <v>1072</v>
      </c>
      <c r="L149" s="130">
        <v>493555415</v>
      </c>
      <c r="M149" s="109" t="s">
        <v>564</v>
      </c>
      <c r="N149" s="12" t="s">
        <v>1071</v>
      </c>
      <c r="O149" s="100"/>
      <c r="P149" s="131">
        <v>602593957</v>
      </c>
      <c r="Q149" s="67"/>
      <c r="R149" s="68"/>
      <c r="S149" s="99"/>
      <c r="T149" s="65"/>
      <c r="U149" s="170">
        <f>716016+495630</f>
        <v>1211646</v>
      </c>
      <c r="V149" s="48">
        <f t="shared" si="32"/>
        <v>7003.7341040462425</v>
      </c>
      <c r="W149" s="171">
        <f t="shared" si="33"/>
        <v>3047.7274716694856</v>
      </c>
      <c r="X149" s="69">
        <v>0</v>
      </c>
      <c r="Y149" s="48">
        <f t="shared" si="34"/>
        <v>0</v>
      </c>
      <c r="Z149" s="137">
        <f t="shared" si="35"/>
        <v>0</v>
      </c>
      <c r="AA149" s="69">
        <v>0</v>
      </c>
      <c r="AB149" s="48">
        <f t="shared" si="36"/>
        <v>0</v>
      </c>
      <c r="AC149" s="137">
        <f t="shared" si="37"/>
        <v>0</v>
      </c>
      <c r="AD149" s="70">
        <f t="shared" si="38"/>
        <v>1211646</v>
      </c>
      <c r="AE149" s="71">
        <f t="shared" si="39"/>
        <v>7003.7341040462425</v>
      </c>
      <c r="AF149" s="193">
        <f t="shared" si="40"/>
        <v>3047.7274716694856</v>
      </c>
      <c r="AG149" s="185">
        <f t="shared" si="41"/>
        <v>9.8427782290820456E-2</v>
      </c>
      <c r="AH149" s="180">
        <f t="shared" si="45"/>
        <v>22.029927272727271</v>
      </c>
      <c r="AI149" s="189">
        <v>173</v>
      </c>
      <c r="AJ149" s="125">
        <v>397.55720000000002</v>
      </c>
      <c r="AK149" s="149">
        <v>92</v>
      </c>
      <c r="AL149" s="221">
        <v>55</v>
      </c>
      <c r="AM149" s="216">
        <v>98.305084745762713</v>
      </c>
      <c r="AN149" s="213">
        <v>10.75268817204301</v>
      </c>
      <c r="AO149" s="127">
        <v>2.4620000000000002</v>
      </c>
      <c r="AP149" s="133">
        <v>1.0999999999999999E-2</v>
      </c>
      <c r="AQ149" s="224">
        <f t="shared" si="42"/>
        <v>1.2814814814814814</v>
      </c>
      <c r="AR149" s="158">
        <v>135</v>
      </c>
      <c r="AS149" s="229">
        <f t="shared" si="43"/>
        <v>0.56721311475409841</v>
      </c>
      <c r="AT149" s="230">
        <v>305</v>
      </c>
      <c r="AU149" s="203">
        <v>16.184971098265898</v>
      </c>
      <c r="AV149" s="204">
        <v>71.098265895953759</v>
      </c>
      <c r="AW149" s="205">
        <v>12.716763005780345</v>
      </c>
      <c r="AX149" s="123">
        <v>3.4483000000000001</v>
      </c>
      <c r="AY149" s="281">
        <v>13.23529411764706</v>
      </c>
      <c r="AZ149" s="282">
        <v>20.588235294117645</v>
      </c>
      <c r="BA149" s="283">
        <f t="shared" si="44"/>
        <v>66.176470588235304</v>
      </c>
      <c r="BB149" s="234">
        <v>86.666666666666671</v>
      </c>
      <c r="BC149" s="19">
        <v>1993</v>
      </c>
      <c r="BD149" s="263" t="s">
        <v>556</v>
      </c>
      <c r="BE149" s="261" t="s">
        <v>556</v>
      </c>
      <c r="BF149" s="259" t="s">
        <v>556</v>
      </c>
      <c r="BG149" s="256">
        <v>21.527777777777779</v>
      </c>
      <c r="BH149" s="254" t="s">
        <v>557</v>
      </c>
      <c r="BI149" s="249">
        <v>0</v>
      </c>
      <c r="BJ149" s="308" t="s">
        <v>556</v>
      </c>
      <c r="BK149" s="307" t="s">
        <v>557</v>
      </c>
      <c r="BL149" s="319" t="s">
        <v>1728</v>
      </c>
      <c r="BM149" s="320" t="s">
        <v>556</v>
      </c>
      <c r="BN149" s="321" t="s">
        <v>1781</v>
      </c>
      <c r="BO149" s="145" t="s">
        <v>557</v>
      </c>
      <c r="BP149" s="10" t="s">
        <v>556</v>
      </c>
      <c r="BQ149" s="10" t="s">
        <v>557</v>
      </c>
    </row>
    <row r="150" spans="1:70" s="56" customFormat="1" ht="13.95" customHeight="1" x14ac:dyDescent="0.3">
      <c r="A150" s="56" t="s">
        <v>459</v>
      </c>
      <c r="B150" s="57" t="s">
        <v>462</v>
      </c>
      <c r="C150" s="55" t="s">
        <v>39</v>
      </c>
      <c r="D150" s="58">
        <v>1</v>
      </c>
      <c r="E150" s="59"/>
      <c r="F150" s="60" t="s">
        <v>452</v>
      </c>
      <c r="G150" s="61" t="s">
        <v>11</v>
      </c>
      <c r="H150" s="61" t="s">
        <v>524</v>
      </c>
      <c r="I150" s="62" t="s">
        <v>524</v>
      </c>
      <c r="J150" s="63" t="s">
        <v>1969</v>
      </c>
      <c r="K150" s="99" t="s">
        <v>841</v>
      </c>
      <c r="L150" s="130">
        <v>495499521</v>
      </c>
      <c r="M150" s="109" t="s">
        <v>564</v>
      </c>
      <c r="N150" s="12" t="s">
        <v>842</v>
      </c>
      <c r="O150" s="100"/>
      <c r="P150" s="131"/>
      <c r="Q150" s="67"/>
      <c r="R150" s="68" t="s">
        <v>457</v>
      </c>
      <c r="S150" s="99"/>
      <c r="T150" s="65"/>
      <c r="U150" s="170">
        <v>92000</v>
      </c>
      <c r="V150" s="48">
        <f t="shared" si="32"/>
        <v>422.01834862385323</v>
      </c>
      <c r="W150" s="171">
        <f t="shared" si="33"/>
        <v>306.23426388605952</v>
      </c>
      <c r="X150" s="69">
        <v>0</v>
      </c>
      <c r="Y150" s="48">
        <f t="shared" si="34"/>
        <v>0</v>
      </c>
      <c r="Z150" s="137">
        <f t="shared" si="35"/>
        <v>0</v>
      </c>
      <c r="AA150" s="69">
        <v>600000</v>
      </c>
      <c r="AB150" s="48">
        <f t="shared" si="36"/>
        <v>2752.2935779816512</v>
      </c>
      <c r="AC150" s="137">
        <f t="shared" si="37"/>
        <v>1997.1799818656057</v>
      </c>
      <c r="AD150" s="70">
        <f t="shared" si="38"/>
        <v>692000</v>
      </c>
      <c r="AE150" s="71">
        <f t="shared" si="39"/>
        <v>3174.3119266055046</v>
      </c>
      <c r="AF150" s="193">
        <f t="shared" si="40"/>
        <v>2303.414245751665</v>
      </c>
      <c r="AG150" s="185">
        <f t="shared" si="41"/>
        <v>2.9136842105263155E-2</v>
      </c>
      <c r="AH150" s="180">
        <f t="shared" si="45"/>
        <v>4.45016077170418E-2</v>
      </c>
      <c r="AI150" s="189">
        <v>218</v>
      </c>
      <c r="AJ150" s="125">
        <v>300.42360000000002</v>
      </c>
      <c r="AK150" s="149">
        <v>81</v>
      </c>
      <c r="AL150" s="221">
        <v>51</v>
      </c>
      <c r="AM150" s="216">
        <v>80.303030303030297</v>
      </c>
      <c r="AN150" s="213">
        <v>12.790697674418604</v>
      </c>
      <c r="AO150" s="127">
        <v>4.75</v>
      </c>
      <c r="AP150" s="133">
        <v>3.11</v>
      </c>
      <c r="AQ150" s="224">
        <f t="shared" si="42"/>
        <v>1.2601156069364161</v>
      </c>
      <c r="AR150" s="158">
        <v>173</v>
      </c>
      <c r="AS150" s="229">
        <f t="shared" si="43"/>
        <v>0.73898305084745763</v>
      </c>
      <c r="AT150" s="230">
        <v>295</v>
      </c>
      <c r="AU150" s="203">
        <v>17.431192660550458</v>
      </c>
      <c r="AV150" s="204">
        <v>71.100917431192656</v>
      </c>
      <c r="AW150" s="205">
        <v>11.467889908256881</v>
      </c>
      <c r="AX150" s="123">
        <v>5</v>
      </c>
      <c r="AY150" s="281">
        <v>2.0408163265306123</v>
      </c>
      <c r="AZ150" s="282">
        <v>42.857142857142854</v>
      </c>
      <c r="BA150" s="283">
        <f t="shared" si="44"/>
        <v>55.102040816326529</v>
      </c>
      <c r="BB150" s="234">
        <v>55.056179775280896</v>
      </c>
      <c r="BC150" s="20">
        <v>2001</v>
      </c>
      <c r="BD150" s="263" t="s">
        <v>556</v>
      </c>
      <c r="BE150" s="261" t="s">
        <v>556</v>
      </c>
      <c r="BF150" s="259" t="s">
        <v>556</v>
      </c>
      <c r="BG150" s="256">
        <v>14.285714285714285</v>
      </c>
      <c r="BH150" s="248" t="s">
        <v>556</v>
      </c>
      <c r="BI150" s="249">
        <v>46.111111111111114</v>
      </c>
      <c r="BJ150" s="309" t="s">
        <v>557</v>
      </c>
      <c r="BK150" s="307" t="s">
        <v>557</v>
      </c>
      <c r="BL150" s="319" t="s">
        <v>1728</v>
      </c>
      <c r="BM150" s="320" t="s">
        <v>556</v>
      </c>
      <c r="BN150" s="321" t="s">
        <v>1838</v>
      </c>
      <c r="BO150" s="145" t="s">
        <v>556</v>
      </c>
      <c r="BP150" s="14" t="s">
        <v>556</v>
      </c>
      <c r="BQ150" s="14" t="s">
        <v>556</v>
      </c>
    </row>
    <row r="151" spans="1:70" s="56" customFormat="1" ht="13.95" customHeight="1" x14ac:dyDescent="0.3">
      <c r="A151" s="56" t="s">
        <v>459</v>
      </c>
      <c r="B151" s="57" t="s">
        <v>462</v>
      </c>
      <c r="C151" s="55" t="s">
        <v>150</v>
      </c>
      <c r="D151" s="58">
        <v>1</v>
      </c>
      <c r="E151" s="59"/>
      <c r="F151" s="60" t="s">
        <v>453</v>
      </c>
      <c r="G151" s="61" t="s">
        <v>113</v>
      </c>
      <c r="H151" s="61" t="s">
        <v>113</v>
      </c>
      <c r="I151" s="62" t="s">
        <v>113</v>
      </c>
      <c r="J151" s="63" t="s">
        <v>1971</v>
      </c>
      <c r="K151" s="99" t="s">
        <v>1074</v>
      </c>
      <c r="L151" s="130">
        <v>493532824</v>
      </c>
      <c r="M151" s="109" t="s">
        <v>537</v>
      </c>
      <c r="N151" s="12" t="s">
        <v>1073</v>
      </c>
      <c r="O151" s="100"/>
      <c r="P151" s="131">
        <v>774715479</v>
      </c>
      <c r="Q151" s="67"/>
      <c r="R151" s="68"/>
      <c r="S151" s="99"/>
      <c r="T151" s="65"/>
      <c r="U151" s="170">
        <v>0</v>
      </c>
      <c r="V151" s="48">
        <f t="shared" si="32"/>
        <v>0</v>
      </c>
      <c r="W151" s="171">
        <f t="shared" si="33"/>
        <v>0</v>
      </c>
      <c r="X151" s="69">
        <v>0</v>
      </c>
      <c r="Y151" s="48">
        <f t="shared" si="34"/>
        <v>0</v>
      </c>
      <c r="Z151" s="137">
        <f t="shared" si="35"/>
        <v>0</v>
      </c>
      <c r="AA151" s="69">
        <v>0</v>
      </c>
      <c r="AB151" s="48">
        <f t="shared" si="36"/>
        <v>0</v>
      </c>
      <c r="AC151" s="137">
        <f t="shared" si="37"/>
        <v>0</v>
      </c>
      <c r="AD151" s="70">
        <f t="shared" si="38"/>
        <v>0</v>
      </c>
      <c r="AE151" s="71">
        <f t="shared" si="39"/>
        <v>0</v>
      </c>
      <c r="AF151" s="193">
        <f t="shared" si="40"/>
        <v>0</v>
      </c>
      <c r="AG151" s="185">
        <f t="shared" si="41"/>
        <v>0</v>
      </c>
      <c r="AH151" s="180">
        <f t="shared" si="45"/>
        <v>0</v>
      </c>
      <c r="AI151" s="189">
        <v>208</v>
      </c>
      <c r="AJ151" s="125">
        <v>187.42859999999999</v>
      </c>
      <c r="AK151" s="149">
        <v>87</v>
      </c>
      <c r="AL151" s="221">
        <v>63</v>
      </c>
      <c r="AM151" s="216">
        <v>92.857142857142861</v>
      </c>
      <c r="AN151" s="213">
        <v>12.345679012345679</v>
      </c>
      <c r="AO151" s="127">
        <v>2.1240000000000001</v>
      </c>
      <c r="AP151" s="133">
        <v>1.147</v>
      </c>
      <c r="AQ151" s="224">
        <f t="shared" si="42"/>
        <v>1.7049180327868851</v>
      </c>
      <c r="AR151" s="158">
        <v>122</v>
      </c>
      <c r="AS151" s="229">
        <f t="shared" si="43"/>
        <v>0.77037037037037037</v>
      </c>
      <c r="AT151" s="230">
        <v>270</v>
      </c>
      <c r="AU151" s="203">
        <v>12.980769230769232</v>
      </c>
      <c r="AV151" s="204">
        <v>75</v>
      </c>
      <c r="AW151" s="205">
        <v>12.01923076923077</v>
      </c>
      <c r="AX151" s="123">
        <v>2.5640999999999998</v>
      </c>
      <c r="AY151" s="281">
        <v>3.5714285714285712</v>
      </c>
      <c r="AZ151" s="282">
        <v>38.392857142857146</v>
      </c>
      <c r="BA151" s="283">
        <f t="shared" si="44"/>
        <v>58.035714285714285</v>
      </c>
      <c r="BB151" s="234">
        <v>72.881355932203391</v>
      </c>
      <c r="BC151" s="19">
        <v>2002</v>
      </c>
      <c r="BD151" s="264" t="s">
        <v>557</v>
      </c>
      <c r="BE151" s="262" t="s">
        <v>557</v>
      </c>
      <c r="BF151" s="260" t="s">
        <v>557</v>
      </c>
      <c r="BG151" s="256">
        <v>0</v>
      </c>
      <c r="BH151" s="254" t="s">
        <v>557</v>
      </c>
      <c r="BI151" s="249">
        <v>0</v>
      </c>
      <c r="BJ151" s="309" t="s">
        <v>557</v>
      </c>
      <c r="BK151" s="307" t="s">
        <v>557</v>
      </c>
      <c r="BL151" s="319" t="s">
        <v>1728</v>
      </c>
      <c r="BM151" s="320" t="s">
        <v>556</v>
      </c>
      <c r="BN151" s="321" t="s">
        <v>1767</v>
      </c>
      <c r="BO151" s="145" t="s">
        <v>557</v>
      </c>
      <c r="BP151" s="10" t="s">
        <v>557</v>
      </c>
      <c r="BQ151" s="10" t="s">
        <v>557</v>
      </c>
      <c r="BR151" s="72"/>
    </row>
    <row r="152" spans="1:70" s="56" customFormat="1" ht="13.95" customHeight="1" x14ac:dyDescent="0.3">
      <c r="A152" s="56" t="s">
        <v>459</v>
      </c>
      <c r="B152" s="57" t="s">
        <v>462</v>
      </c>
      <c r="C152" s="55" t="s">
        <v>40</v>
      </c>
      <c r="D152" s="58">
        <v>2</v>
      </c>
      <c r="E152" s="59" t="s">
        <v>473</v>
      </c>
      <c r="F152" s="60" t="s">
        <v>452</v>
      </c>
      <c r="G152" s="61" t="s">
        <v>11</v>
      </c>
      <c r="H152" s="61" t="s">
        <v>524</v>
      </c>
      <c r="I152" s="62" t="s">
        <v>524</v>
      </c>
      <c r="J152" s="63" t="s">
        <v>1970</v>
      </c>
      <c r="K152" s="99" t="s">
        <v>843</v>
      </c>
      <c r="L152" s="130">
        <v>495486105</v>
      </c>
      <c r="M152" s="109" t="s">
        <v>564</v>
      </c>
      <c r="N152" s="12" t="s">
        <v>844</v>
      </c>
      <c r="O152" s="100"/>
      <c r="P152" s="131">
        <v>724183048</v>
      </c>
      <c r="Q152" s="67"/>
      <c r="R152" s="68"/>
      <c r="S152" s="99"/>
      <c r="T152" s="65"/>
      <c r="U152" s="170">
        <v>131000</v>
      </c>
      <c r="V152" s="48">
        <f t="shared" si="32"/>
        <v>329.1457286432161</v>
      </c>
      <c r="W152" s="171">
        <f t="shared" si="33"/>
        <v>94.663808349579142</v>
      </c>
      <c r="X152" s="69">
        <v>139000</v>
      </c>
      <c r="Y152" s="48">
        <f t="shared" si="34"/>
        <v>349.2462311557789</v>
      </c>
      <c r="Z152" s="137">
        <f t="shared" si="35"/>
        <v>100.44480427932443</v>
      </c>
      <c r="AA152" s="69">
        <v>0</v>
      </c>
      <c r="AB152" s="48">
        <f t="shared" si="36"/>
        <v>0</v>
      </c>
      <c r="AC152" s="137">
        <f t="shared" si="37"/>
        <v>0</v>
      </c>
      <c r="AD152" s="70">
        <f t="shared" si="38"/>
        <v>270000</v>
      </c>
      <c r="AE152" s="71">
        <f t="shared" si="39"/>
        <v>678.391959798995</v>
      </c>
      <c r="AF152" s="193">
        <f t="shared" si="40"/>
        <v>195.10861262890359</v>
      </c>
      <c r="AG152" s="185">
        <f t="shared" si="41"/>
        <v>1.2442396313364057E-2</v>
      </c>
      <c r="AH152" s="180">
        <f t="shared" si="45"/>
        <v>0.22131147540983609</v>
      </c>
      <c r="AI152" s="189">
        <v>398</v>
      </c>
      <c r="AJ152" s="125">
        <v>1383.8445999999999</v>
      </c>
      <c r="AK152" s="149">
        <v>197</v>
      </c>
      <c r="AL152" s="221">
        <v>127</v>
      </c>
      <c r="AM152" s="216">
        <v>90.604026845637591</v>
      </c>
      <c r="AN152" s="213">
        <v>4.3478260869565215</v>
      </c>
      <c r="AO152" s="127">
        <v>4.34</v>
      </c>
      <c r="AP152" s="133">
        <v>0.24399999999999999</v>
      </c>
      <c r="AQ152" s="224">
        <f t="shared" si="42"/>
        <v>0.96368038740920092</v>
      </c>
      <c r="AR152" s="158">
        <v>413</v>
      </c>
      <c r="AS152" s="229">
        <f t="shared" si="43"/>
        <v>0.58962962962962961</v>
      </c>
      <c r="AT152" s="230">
        <v>675</v>
      </c>
      <c r="AU152" s="203">
        <v>13.06532663316583</v>
      </c>
      <c r="AV152" s="204">
        <v>63.819095477386938</v>
      </c>
      <c r="AW152" s="205">
        <v>23.115577889447238</v>
      </c>
      <c r="AX152" s="123">
        <v>4.5282999999999998</v>
      </c>
      <c r="AY152" s="281">
        <v>7.6923076923076925</v>
      </c>
      <c r="AZ152" s="282">
        <v>48.07692307692308</v>
      </c>
      <c r="BA152" s="283">
        <f t="shared" si="44"/>
        <v>44.230769230769226</v>
      </c>
      <c r="BB152" s="234">
        <v>89.743589743589737</v>
      </c>
      <c r="BC152" s="20">
        <v>2015</v>
      </c>
      <c r="BD152" s="263" t="s">
        <v>556</v>
      </c>
      <c r="BE152" s="261" t="s">
        <v>556</v>
      </c>
      <c r="BF152" s="260" t="s">
        <v>557</v>
      </c>
      <c r="BG152" s="256">
        <v>40.957446808510639</v>
      </c>
      <c r="BH152" s="248" t="s">
        <v>556</v>
      </c>
      <c r="BI152" s="249">
        <v>23.118279569892472</v>
      </c>
      <c r="BJ152" s="309" t="s">
        <v>557</v>
      </c>
      <c r="BK152" s="307" t="s">
        <v>557</v>
      </c>
      <c r="BL152" s="319" t="s">
        <v>1728</v>
      </c>
      <c r="BM152" s="320" t="s">
        <v>556</v>
      </c>
      <c r="BN152" s="321" t="s">
        <v>1838</v>
      </c>
      <c r="BO152" s="145" t="s">
        <v>557</v>
      </c>
      <c r="BP152" s="14" t="s">
        <v>556</v>
      </c>
      <c r="BQ152" s="14" t="s">
        <v>557</v>
      </c>
    </row>
    <row r="153" spans="1:70" s="56" customFormat="1" ht="13.95" customHeight="1" x14ac:dyDescent="0.3">
      <c r="A153" s="56" t="s">
        <v>459</v>
      </c>
      <c r="B153" s="57" t="s">
        <v>462</v>
      </c>
      <c r="C153" s="55" t="s">
        <v>414</v>
      </c>
      <c r="D153" s="58">
        <v>1</v>
      </c>
      <c r="E153" s="59"/>
      <c r="F153" s="60" t="s">
        <v>456</v>
      </c>
      <c r="G153" s="61" t="s">
        <v>389</v>
      </c>
      <c r="H153" s="61" t="s">
        <v>390</v>
      </c>
      <c r="I153" s="62" t="s">
        <v>390</v>
      </c>
      <c r="J153" s="63" t="s">
        <v>1972</v>
      </c>
      <c r="K153" s="99" t="s">
        <v>1595</v>
      </c>
      <c r="L153" s="130">
        <v>499441673</v>
      </c>
      <c r="M153" s="109" t="s">
        <v>564</v>
      </c>
      <c r="N153" s="12" t="s">
        <v>1594</v>
      </c>
      <c r="O153" s="100"/>
      <c r="P153" s="131">
        <v>603558848</v>
      </c>
      <c r="Q153" s="84"/>
      <c r="S153" s="105"/>
      <c r="T153" s="112"/>
      <c r="U153" s="170">
        <v>163227</v>
      </c>
      <c r="V153" s="48">
        <f t="shared" si="32"/>
        <v>773.58767772511851</v>
      </c>
      <c r="W153" s="171">
        <f t="shared" si="33"/>
        <v>543.41254569303601</v>
      </c>
      <c r="X153" s="69">
        <v>140189</v>
      </c>
      <c r="Y153" s="48">
        <f t="shared" si="34"/>
        <v>664.40284360189571</v>
      </c>
      <c r="Z153" s="137">
        <f t="shared" si="35"/>
        <v>466.71482884670439</v>
      </c>
      <c r="AA153" s="69">
        <v>0</v>
      </c>
      <c r="AB153" s="48">
        <f t="shared" si="36"/>
        <v>0</v>
      </c>
      <c r="AC153" s="137">
        <f t="shared" si="37"/>
        <v>0</v>
      </c>
      <c r="AD153" s="70">
        <f t="shared" si="38"/>
        <v>303416</v>
      </c>
      <c r="AE153" s="71">
        <f t="shared" si="39"/>
        <v>1437.9905213270142</v>
      </c>
      <c r="AF153" s="193">
        <f t="shared" si="40"/>
        <v>1010.1273745397403</v>
      </c>
      <c r="AG153" s="185">
        <f t="shared" si="41"/>
        <v>3.061715438950555E-2</v>
      </c>
      <c r="AH153" s="180">
        <f t="shared" si="45"/>
        <v>0.22813233082706766</v>
      </c>
      <c r="AI153" s="189">
        <v>211</v>
      </c>
      <c r="AJ153" s="125">
        <v>300.37400000000002</v>
      </c>
      <c r="AK153" s="149">
        <v>100</v>
      </c>
      <c r="AL153" s="221">
        <v>63</v>
      </c>
      <c r="AM153" s="216">
        <v>98.648648648648646</v>
      </c>
      <c r="AN153" s="213">
        <v>20.720720720720724</v>
      </c>
      <c r="AO153" s="127">
        <v>1.982</v>
      </c>
      <c r="AP153" s="133">
        <v>0.26600000000000001</v>
      </c>
      <c r="AQ153" s="224">
        <f t="shared" si="42"/>
        <v>1.1467391304347827</v>
      </c>
      <c r="AR153" s="158">
        <v>184</v>
      </c>
      <c r="AS153" s="229">
        <f t="shared" si="43"/>
        <v>0.54663212435233166</v>
      </c>
      <c r="AT153" s="230">
        <v>386</v>
      </c>
      <c r="AU153" s="203">
        <v>16.113744075829384</v>
      </c>
      <c r="AV153" s="204">
        <v>62.559241706161131</v>
      </c>
      <c r="AW153" s="205">
        <v>21.327014218009481</v>
      </c>
      <c r="AX153" s="123">
        <v>5.8823999999999996</v>
      </c>
      <c r="AY153" s="281">
        <v>4.0540540540540544</v>
      </c>
      <c r="AZ153" s="282">
        <v>43.243243243243242</v>
      </c>
      <c r="BA153" s="283">
        <f t="shared" si="44"/>
        <v>52.702702702702709</v>
      </c>
      <c r="BB153" s="234">
        <v>91.17647058823529</v>
      </c>
      <c r="BC153" s="20">
        <v>2013</v>
      </c>
      <c r="BD153" s="264" t="s">
        <v>557</v>
      </c>
      <c r="BE153" s="262" t="s">
        <v>557</v>
      </c>
      <c r="BF153" s="260" t="s">
        <v>557</v>
      </c>
      <c r="BG153" s="256">
        <v>0</v>
      </c>
      <c r="BH153" s="254" t="s">
        <v>557</v>
      </c>
      <c r="BI153" s="249">
        <v>0</v>
      </c>
      <c r="BJ153" s="309" t="s">
        <v>557</v>
      </c>
      <c r="BK153" s="307" t="s">
        <v>557</v>
      </c>
      <c r="BL153" s="319" t="s">
        <v>1728</v>
      </c>
      <c r="BM153" s="320" t="s">
        <v>556</v>
      </c>
      <c r="BN153" s="321" t="s">
        <v>557</v>
      </c>
      <c r="BO153" s="145" t="s">
        <v>557</v>
      </c>
      <c r="BP153" s="14" t="s">
        <v>556</v>
      </c>
      <c r="BQ153" s="14" t="s">
        <v>556</v>
      </c>
      <c r="BR153" s="72"/>
    </row>
    <row r="154" spans="1:70" s="56" customFormat="1" ht="13.95" customHeight="1" x14ac:dyDescent="0.3">
      <c r="A154" s="3" t="s">
        <v>459</v>
      </c>
      <c r="B154" s="57" t="s">
        <v>462</v>
      </c>
      <c r="C154" s="55" t="s">
        <v>151</v>
      </c>
      <c r="D154" s="58">
        <v>2</v>
      </c>
      <c r="E154" s="59" t="s">
        <v>329</v>
      </c>
      <c r="F154" s="60" t="s">
        <v>453</v>
      </c>
      <c r="G154" s="61" t="s">
        <v>113</v>
      </c>
      <c r="H154" s="61" t="s">
        <v>113</v>
      </c>
      <c r="I154" s="62" t="s">
        <v>113</v>
      </c>
      <c r="J154" s="117" t="s">
        <v>1973</v>
      </c>
      <c r="K154" s="100" t="s">
        <v>1076</v>
      </c>
      <c r="L154" s="131">
        <v>493591107</v>
      </c>
      <c r="M154" s="109" t="s">
        <v>564</v>
      </c>
      <c r="N154" s="12" t="s">
        <v>1075</v>
      </c>
      <c r="O154" s="100"/>
      <c r="P154" s="131">
        <v>773885473</v>
      </c>
      <c r="Q154" s="67"/>
      <c r="R154" s="12"/>
      <c r="S154" s="100"/>
      <c r="T154" s="66"/>
      <c r="U154" s="170">
        <v>400000</v>
      </c>
      <c r="V154" s="48">
        <f t="shared" si="32"/>
        <v>1574.8031496062993</v>
      </c>
      <c r="W154" s="171">
        <f t="shared" si="33"/>
        <v>598.08970149342997</v>
      </c>
      <c r="X154" s="69">
        <v>0</v>
      </c>
      <c r="Y154" s="48">
        <f t="shared" si="34"/>
        <v>0</v>
      </c>
      <c r="Z154" s="137">
        <f t="shared" si="35"/>
        <v>0</v>
      </c>
      <c r="AA154" s="69">
        <v>0</v>
      </c>
      <c r="AB154" s="48">
        <f t="shared" si="36"/>
        <v>0</v>
      </c>
      <c r="AC154" s="137">
        <f t="shared" si="37"/>
        <v>0</v>
      </c>
      <c r="AD154" s="70">
        <f t="shared" si="38"/>
        <v>400000</v>
      </c>
      <c r="AE154" s="71">
        <f t="shared" si="39"/>
        <v>1574.8031496062993</v>
      </c>
      <c r="AF154" s="193">
        <f t="shared" si="40"/>
        <v>598.08970149342997</v>
      </c>
      <c r="AG154" s="185">
        <f t="shared" si="41"/>
        <v>2.115842369743454E-2</v>
      </c>
      <c r="AH154" s="180">
        <f t="shared" si="45"/>
        <v>0.15355086372360843</v>
      </c>
      <c r="AI154" s="189">
        <v>254</v>
      </c>
      <c r="AJ154" s="125">
        <v>668.79600000000005</v>
      </c>
      <c r="AK154" s="149">
        <v>164</v>
      </c>
      <c r="AL154" s="221">
        <v>89</v>
      </c>
      <c r="AM154" s="216">
        <v>99.019607843137265</v>
      </c>
      <c r="AN154" s="213">
        <v>23.926380368098158</v>
      </c>
      <c r="AO154" s="127">
        <v>3.7810000000000001</v>
      </c>
      <c r="AP154" s="133">
        <v>0.52100000000000002</v>
      </c>
      <c r="AQ154" s="224">
        <f t="shared" si="42"/>
        <v>1.0495867768595042</v>
      </c>
      <c r="AR154" s="158">
        <v>242</v>
      </c>
      <c r="AS154" s="229">
        <f t="shared" si="43"/>
        <v>0.44797178130511461</v>
      </c>
      <c r="AT154" s="230">
        <v>567</v>
      </c>
      <c r="AU154" s="203">
        <v>16.535433070866144</v>
      </c>
      <c r="AV154" s="204">
        <v>64.173228346456682</v>
      </c>
      <c r="AW154" s="205">
        <v>19.291338582677163</v>
      </c>
      <c r="AX154" s="123">
        <v>1.7044999999999999</v>
      </c>
      <c r="AY154" s="281">
        <v>5.3571428571428568</v>
      </c>
      <c r="AZ154" s="282">
        <v>43.75</v>
      </c>
      <c r="BA154" s="283">
        <f t="shared" si="44"/>
        <v>50.892857142857139</v>
      </c>
      <c r="BB154" s="234">
        <v>62.5</v>
      </c>
      <c r="BC154" s="19">
        <v>2015</v>
      </c>
      <c r="BD154" s="263" t="s">
        <v>556</v>
      </c>
      <c r="BE154" s="262" t="s">
        <v>557</v>
      </c>
      <c r="BF154" s="260" t="s">
        <v>557</v>
      </c>
      <c r="BG154" s="256">
        <v>0</v>
      </c>
      <c r="BH154" s="254" t="s">
        <v>557</v>
      </c>
      <c r="BI154" s="249">
        <v>0</v>
      </c>
      <c r="BJ154" s="308" t="s">
        <v>556</v>
      </c>
      <c r="BK154" s="307" t="s">
        <v>557</v>
      </c>
      <c r="BL154" s="319" t="s">
        <v>1728</v>
      </c>
      <c r="BM154" s="320" t="s">
        <v>556</v>
      </c>
      <c r="BN154" s="321" t="s">
        <v>1838</v>
      </c>
      <c r="BO154" s="21" t="s">
        <v>557</v>
      </c>
      <c r="BP154" s="10" t="s">
        <v>557</v>
      </c>
      <c r="BQ154" s="10" t="s">
        <v>556</v>
      </c>
    </row>
    <row r="155" spans="1:70" s="56" customFormat="1" ht="13.95" customHeight="1" x14ac:dyDescent="0.3">
      <c r="A155" s="56" t="s">
        <v>459</v>
      </c>
      <c r="B155" s="57" t="s">
        <v>462</v>
      </c>
      <c r="C155" s="55" t="s">
        <v>41</v>
      </c>
      <c r="D155" s="58">
        <v>1</v>
      </c>
      <c r="E155" s="97" t="s">
        <v>609</v>
      </c>
      <c r="F155" s="60" t="s">
        <v>452</v>
      </c>
      <c r="G155" s="61" t="s">
        <v>7</v>
      </c>
      <c r="H155" s="61" t="s">
        <v>7</v>
      </c>
      <c r="I155" s="62" t="s">
        <v>7</v>
      </c>
      <c r="J155" s="63" t="s">
        <v>2496</v>
      </c>
      <c r="K155" s="99" t="s">
        <v>845</v>
      </c>
      <c r="L155" s="130">
        <v>495441881</v>
      </c>
      <c r="M155" s="109" t="s">
        <v>564</v>
      </c>
      <c r="N155" s="12" t="s">
        <v>846</v>
      </c>
      <c r="O155" s="100"/>
      <c r="P155" s="131">
        <v>732206515</v>
      </c>
      <c r="Q155" s="67"/>
      <c r="R155" s="68"/>
      <c r="S155" s="99"/>
      <c r="T155" s="65"/>
      <c r="U155" s="170">
        <v>480500</v>
      </c>
      <c r="V155" s="48">
        <f t="shared" si="32"/>
        <v>1773.0627306273063</v>
      </c>
      <c r="W155" s="171">
        <f t="shared" si="33"/>
        <v>778.55826240702675</v>
      </c>
      <c r="X155" s="69">
        <v>0</v>
      </c>
      <c r="Y155" s="48">
        <f t="shared" si="34"/>
        <v>0</v>
      </c>
      <c r="Z155" s="137">
        <f t="shared" si="35"/>
        <v>0</v>
      </c>
      <c r="AA155" s="69">
        <v>0</v>
      </c>
      <c r="AB155" s="48">
        <f t="shared" si="36"/>
        <v>0</v>
      </c>
      <c r="AC155" s="137">
        <f t="shared" si="37"/>
        <v>0</v>
      </c>
      <c r="AD155" s="70">
        <f t="shared" si="38"/>
        <v>480500</v>
      </c>
      <c r="AE155" s="71">
        <f t="shared" si="39"/>
        <v>1773.0627306273063</v>
      </c>
      <c r="AF155" s="193">
        <f t="shared" si="40"/>
        <v>778.55826240702675</v>
      </c>
      <c r="AG155" s="185">
        <f t="shared" si="41"/>
        <v>3.9192495921696574E-2</v>
      </c>
      <c r="AH155" s="180">
        <f t="shared" si="45"/>
        <v>0.25764075067024128</v>
      </c>
      <c r="AI155" s="189">
        <v>271</v>
      </c>
      <c r="AJ155" s="125">
        <v>617.16639999999995</v>
      </c>
      <c r="AK155" s="149">
        <v>98</v>
      </c>
      <c r="AL155" s="221">
        <v>71</v>
      </c>
      <c r="AM155" s="216">
        <v>100</v>
      </c>
      <c r="AN155" s="213">
        <v>0.93457943925233644</v>
      </c>
      <c r="AO155" s="127">
        <v>2.452</v>
      </c>
      <c r="AP155" s="133">
        <v>0.373</v>
      </c>
      <c r="AQ155" s="224">
        <f t="shared" si="42"/>
        <v>1.5397727272727273</v>
      </c>
      <c r="AR155" s="158">
        <v>176</v>
      </c>
      <c r="AS155" s="229">
        <f t="shared" si="43"/>
        <v>1.1885964912280702</v>
      </c>
      <c r="AT155" s="230">
        <v>228</v>
      </c>
      <c r="AU155" s="203">
        <v>24.723247232472325</v>
      </c>
      <c r="AV155" s="204">
        <v>65.682656826568277</v>
      </c>
      <c r="AW155" s="205">
        <v>9.5940959409594093</v>
      </c>
      <c r="AX155" s="123">
        <v>6.1798000000000002</v>
      </c>
      <c r="AY155" s="281">
        <v>5.5118110236220472</v>
      </c>
      <c r="AZ155" s="282">
        <v>32.283464566929133</v>
      </c>
      <c r="BA155" s="283">
        <f t="shared" si="44"/>
        <v>62.204724409448822</v>
      </c>
      <c r="BB155" s="234">
        <v>97.826086956521735</v>
      </c>
      <c r="BC155" s="20">
        <v>2016</v>
      </c>
      <c r="BD155" s="263" t="s">
        <v>556</v>
      </c>
      <c r="BE155" s="261" t="s">
        <v>556</v>
      </c>
      <c r="BF155" s="259" t="s">
        <v>556</v>
      </c>
      <c r="BG155" s="256">
        <v>45.2</v>
      </c>
      <c r="BH155" s="248" t="s">
        <v>556</v>
      </c>
      <c r="BI155" s="249">
        <v>45.871559633027523</v>
      </c>
      <c r="BJ155" s="309" t="s">
        <v>557</v>
      </c>
      <c r="BK155" s="307" t="s">
        <v>557</v>
      </c>
      <c r="BL155" s="319" t="s">
        <v>1728</v>
      </c>
      <c r="BM155" s="320" t="s">
        <v>557</v>
      </c>
      <c r="BN155" s="321" t="s">
        <v>1767</v>
      </c>
      <c r="BO155" s="145" t="s">
        <v>557</v>
      </c>
      <c r="BP155" s="14" t="s">
        <v>556</v>
      </c>
      <c r="BQ155" s="14" t="s">
        <v>557</v>
      </c>
    </row>
    <row r="156" spans="1:70" s="56" customFormat="1" ht="13.95" customHeight="1" x14ac:dyDescent="0.3">
      <c r="A156" s="3" t="s">
        <v>459</v>
      </c>
      <c r="B156" s="57" t="s">
        <v>462</v>
      </c>
      <c r="C156" s="55" t="s">
        <v>415</v>
      </c>
      <c r="D156" s="58">
        <v>3</v>
      </c>
      <c r="E156" s="59" t="s">
        <v>728</v>
      </c>
      <c r="F156" s="60" t="s">
        <v>456</v>
      </c>
      <c r="G156" s="61" t="s">
        <v>531</v>
      </c>
      <c r="H156" s="61" t="s">
        <v>531</v>
      </c>
      <c r="I156" s="62" t="s">
        <v>531</v>
      </c>
      <c r="J156" s="117" t="s">
        <v>1975</v>
      </c>
      <c r="K156" s="100" t="s">
        <v>1974</v>
      </c>
      <c r="L156" s="131">
        <v>499623520</v>
      </c>
      <c r="M156" s="109" t="s">
        <v>537</v>
      </c>
      <c r="N156" s="12" t="s">
        <v>1596</v>
      </c>
      <c r="O156" s="100" t="s">
        <v>1976</v>
      </c>
      <c r="P156" s="131">
        <v>724180083</v>
      </c>
      <c r="Q156" s="82"/>
      <c r="R156" s="80"/>
      <c r="S156" s="116"/>
      <c r="T156" s="241"/>
      <c r="U156" s="170">
        <v>275357</v>
      </c>
      <c r="V156" s="48">
        <f t="shared" si="32"/>
        <v>536.75828460038986</v>
      </c>
      <c r="W156" s="171">
        <f t="shared" si="33"/>
        <v>252.0361227642374</v>
      </c>
      <c r="X156" s="69">
        <v>0</v>
      </c>
      <c r="Y156" s="48">
        <f t="shared" si="34"/>
        <v>0</v>
      </c>
      <c r="Z156" s="137">
        <f t="shared" si="35"/>
        <v>0</v>
      </c>
      <c r="AA156" s="69">
        <v>0</v>
      </c>
      <c r="AB156" s="48">
        <f t="shared" si="36"/>
        <v>0</v>
      </c>
      <c r="AC156" s="137">
        <f t="shared" si="37"/>
        <v>0</v>
      </c>
      <c r="AD156" s="70">
        <f t="shared" si="38"/>
        <v>275357</v>
      </c>
      <c r="AE156" s="71">
        <f t="shared" si="39"/>
        <v>536.75828460038986</v>
      </c>
      <c r="AF156" s="193">
        <f t="shared" si="40"/>
        <v>252.0361227642374</v>
      </c>
      <c r="AG156" s="185">
        <f t="shared" si="41"/>
        <v>9.5114680483592388E-3</v>
      </c>
      <c r="AH156" s="180">
        <f t="shared" si="45"/>
        <v>3.8323869171885877E-2</v>
      </c>
      <c r="AI156" s="189">
        <v>513</v>
      </c>
      <c r="AJ156" s="125">
        <v>1092.5299</v>
      </c>
      <c r="AK156" s="149">
        <v>199</v>
      </c>
      <c r="AL156" s="221">
        <v>139</v>
      </c>
      <c r="AM156" s="216">
        <v>82.35294117647058</v>
      </c>
      <c r="AN156" s="213">
        <v>10.176991150442477</v>
      </c>
      <c r="AO156" s="127">
        <v>5.79</v>
      </c>
      <c r="AP156" s="133">
        <v>1.4370000000000001</v>
      </c>
      <c r="AQ156" s="224">
        <f t="shared" si="42"/>
        <v>1.0321931589537223</v>
      </c>
      <c r="AR156" s="158">
        <v>497</v>
      </c>
      <c r="AS156" s="229">
        <f t="shared" si="43"/>
        <v>0.51557788944723615</v>
      </c>
      <c r="AT156" s="230">
        <v>995</v>
      </c>
      <c r="AU156" s="203">
        <v>14.42495126705653</v>
      </c>
      <c r="AV156" s="204">
        <v>67.641325536062382</v>
      </c>
      <c r="AW156" s="205">
        <v>17.93372319688109</v>
      </c>
      <c r="AX156" s="123">
        <v>5.6497000000000002</v>
      </c>
      <c r="AY156" s="281">
        <v>3.4188034188034191</v>
      </c>
      <c r="AZ156" s="282">
        <v>43.589743589743591</v>
      </c>
      <c r="BA156" s="283">
        <f t="shared" si="44"/>
        <v>52.991452991452988</v>
      </c>
      <c r="BB156" s="234">
        <v>47.058823529411768</v>
      </c>
      <c r="BC156" s="19" t="s">
        <v>557</v>
      </c>
      <c r="BD156" s="263" t="s">
        <v>556</v>
      </c>
      <c r="BE156" s="262" t="s">
        <v>557</v>
      </c>
      <c r="BF156" s="260" t="s">
        <v>557</v>
      </c>
      <c r="BG156" s="256">
        <v>0</v>
      </c>
      <c r="BH156" s="254" t="s">
        <v>557</v>
      </c>
      <c r="BI156" s="249">
        <v>0</v>
      </c>
      <c r="BJ156" s="308" t="s">
        <v>556</v>
      </c>
      <c r="BK156" s="307" t="s">
        <v>750</v>
      </c>
      <c r="BL156" s="319" t="s">
        <v>557</v>
      </c>
      <c r="BM156" s="320" t="s">
        <v>556</v>
      </c>
      <c r="BN156" s="321" t="s">
        <v>1957</v>
      </c>
      <c r="BO156" s="21" t="s">
        <v>556</v>
      </c>
      <c r="BP156" s="10" t="s">
        <v>556</v>
      </c>
      <c r="BQ156" s="10" t="s">
        <v>557</v>
      </c>
      <c r="BR156" s="72"/>
    </row>
    <row r="157" spans="1:70" s="56" customFormat="1" ht="13.95" customHeight="1" x14ac:dyDescent="0.3">
      <c r="A157" s="56" t="s">
        <v>459</v>
      </c>
      <c r="B157" s="57" t="s">
        <v>462</v>
      </c>
      <c r="C157" s="55" t="s">
        <v>416</v>
      </c>
      <c r="D157" s="58">
        <v>1</v>
      </c>
      <c r="E157" s="97" t="s">
        <v>1002</v>
      </c>
      <c r="F157" s="60" t="s">
        <v>456</v>
      </c>
      <c r="G157" s="61" t="s">
        <v>531</v>
      </c>
      <c r="H157" s="61" t="s">
        <v>531</v>
      </c>
      <c r="I157" s="62" t="s">
        <v>531</v>
      </c>
      <c r="J157" s="63" t="s">
        <v>1977</v>
      </c>
      <c r="K157" s="99" t="s">
        <v>1598</v>
      </c>
      <c r="L157" s="130">
        <v>499693030</v>
      </c>
      <c r="M157" s="109" t="s">
        <v>564</v>
      </c>
      <c r="N157" s="12" t="s">
        <v>1597</v>
      </c>
      <c r="O157" s="100"/>
      <c r="P157" s="131">
        <v>724224782</v>
      </c>
      <c r="Q157" s="82"/>
      <c r="R157" s="72"/>
      <c r="S157" s="115"/>
      <c r="T157" s="112"/>
      <c r="U157" s="170">
        <v>0</v>
      </c>
      <c r="V157" s="48">
        <f t="shared" si="32"/>
        <v>0</v>
      </c>
      <c r="W157" s="171">
        <f t="shared" si="33"/>
        <v>0</v>
      </c>
      <c r="X157" s="69">
        <v>656000</v>
      </c>
      <c r="Y157" s="48">
        <f t="shared" si="34"/>
        <v>2562.5</v>
      </c>
      <c r="Z157" s="137">
        <f t="shared" si="35"/>
        <v>607.64067391055869</v>
      </c>
      <c r="AA157" s="69">
        <v>0</v>
      </c>
      <c r="AB157" s="48">
        <f t="shared" si="36"/>
        <v>0</v>
      </c>
      <c r="AC157" s="137">
        <f t="shared" si="37"/>
        <v>0</v>
      </c>
      <c r="AD157" s="70">
        <f t="shared" si="38"/>
        <v>656000</v>
      </c>
      <c r="AE157" s="71">
        <f t="shared" si="39"/>
        <v>2562.5</v>
      </c>
      <c r="AF157" s="193">
        <f t="shared" si="40"/>
        <v>607.64067391055869</v>
      </c>
      <c r="AG157" s="185">
        <f t="shared" si="41"/>
        <v>2.6934920960788335E-2</v>
      </c>
      <c r="AH157" s="180">
        <f t="shared" si="45"/>
        <v>2.4754716981132074</v>
      </c>
      <c r="AI157" s="189">
        <v>256</v>
      </c>
      <c r="AJ157" s="125">
        <v>1079.5853999999999</v>
      </c>
      <c r="AK157" s="149">
        <v>192</v>
      </c>
      <c r="AL157" s="221">
        <v>86</v>
      </c>
      <c r="AM157" s="216">
        <v>83.673469387755105</v>
      </c>
      <c r="AN157" s="213">
        <v>10.655737704918034</v>
      </c>
      <c r="AO157" s="127">
        <v>4.8710000000000004</v>
      </c>
      <c r="AP157" s="133">
        <v>5.2999999999999999E-2</v>
      </c>
      <c r="AQ157" s="224">
        <f t="shared" si="42"/>
        <v>1.1228070175438596</v>
      </c>
      <c r="AR157" s="158">
        <v>228</v>
      </c>
      <c r="AS157" s="229">
        <f t="shared" si="43"/>
        <v>0.25271470878578478</v>
      </c>
      <c r="AT157" s="230">
        <v>1013</v>
      </c>
      <c r="AU157" s="203">
        <v>15.234375</v>
      </c>
      <c r="AV157" s="204">
        <v>64.453125</v>
      </c>
      <c r="AW157" s="205">
        <v>20.3125</v>
      </c>
      <c r="AX157" s="123">
        <v>6.0975999999999999</v>
      </c>
      <c r="AY157" s="281">
        <v>7.4468085106382977</v>
      </c>
      <c r="AZ157" s="282">
        <v>38.297872340425535</v>
      </c>
      <c r="BA157" s="283">
        <f t="shared" si="44"/>
        <v>54.255319148936174</v>
      </c>
      <c r="BB157" s="234">
        <v>93.939393939393938</v>
      </c>
      <c r="BC157" s="120">
        <v>2017</v>
      </c>
      <c r="BD157" s="263" t="s">
        <v>556</v>
      </c>
      <c r="BE157" s="262" t="s">
        <v>557</v>
      </c>
      <c r="BF157" s="260" t="s">
        <v>557</v>
      </c>
      <c r="BG157" s="256">
        <v>0</v>
      </c>
      <c r="BH157" s="254" t="s">
        <v>557</v>
      </c>
      <c r="BI157" s="249">
        <v>0</v>
      </c>
      <c r="BJ157" s="309" t="s">
        <v>557</v>
      </c>
      <c r="BK157" s="307" t="s">
        <v>557</v>
      </c>
      <c r="BL157" s="319" t="s">
        <v>1728</v>
      </c>
      <c r="BM157" s="320" t="s">
        <v>556</v>
      </c>
      <c r="BN157" s="321" t="s">
        <v>557</v>
      </c>
      <c r="BO157" s="145" t="s">
        <v>557</v>
      </c>
      <c r="BP157" s="14" t="s">
        <v>556</v>
      </c>
      <c r="BQ157" s="14" t="s">
        <v>557</v>
      </c>
    </row>
    <row r="158" spans="1:70" s="56" customFormat="1" ht="13.95" customHeight="1" x14ac:dyDescent="0.3">
      <c r="A158" s="56" t="s">
        <v>459</v>
      </c>
      <c r="B158" s="57" t="s">
        <v>462</v>
      </c>
      <c r="C158" s="55" t="s">
        <v>152</v>
      </c>
      <c r="D158" s="58">
        <v>2</v>
      </c>
      <c r="E158" s="59" t="s">
        <v>579</v>
      </c>
      <c r="F158" s="60" t="s">
        <v>453</v>
      </c>
      <c r="G158" s="61" t="s">
        <v>113</v>
      </c>
      <c r="H158" s="61" t="s">
        <v>113</v>
      </c>
      <c r="I158" s="62" t="s">
        <v>113</v>
      </c>
      <c r="J158" s="63" t="s">
        <v>1978</v>
      </c>
      <c r="K158" s="99" t="s">
        <v>1078</v>
      </c>
      <c r="L158" s="130">
        <v>493597148</v>
      </c>
      <c r="M158" s="109" t="s">
        <v>564</v>
      </c>
      <c r="N158" s="12" t="s">
        <v>1077</v>
      </c>
      <c r="O158" s="100" t="s">
        <v>1979</v>
      </c>
      <c r="P158" s="131">
        <v>725081045</v>
      </c>
      <c r="Q158" s="67"/>
      <c r="R158" s="68"/>
      <c r="S158" s="99"/>
      <c r="T158" s="65"/>
      <c r="U158" s="170">
        <v>195000</v>
      </c>
      <c r="V158" s="48">
        <f t="shared" si="32"/>
        <v>514.51187335092345</v>
      </c>
      <c r="W158" s="171">
        <f t="shared" si="33"/>
        <v>272.43688929603843</v>
      </c>
      <c r="X158" s="69">
        <v>150000</v>
      </c>
      <c r="Y158" s="48">
        <f t="shared" si="34"/>
        <v>395.77836411609496</v>
      </c>
      <c r="Z158" s="137">
        <f t="shared" si="35"/>
        <v>209.56683792002957</v>
      </c>
      <c r="AA158" s="69">
        <v>0</v>
      </c>
      <c r="AB158" s="48">
        <f t="shared" si="36"/>
        <v>0</v>
      </c>
      <c r="AC158" s="137">
        <f t="shared" si="37"/>
        <v>0</v>
      </c>
      <c r="AD158" s="70">
        <f t="shared" si="38"/>
        <v>345000</v>
      </c>
      <c r="AE158" s="71">
        <f t="shared" si="39"/>
        <v>910.29023746701841</v>
      </c>
      <c r="AF158" s="193">
        <f t="shared" si="40"/>
        <v>482.003727216068</v>
      </c>
      <c r="AG158" s="185">
        <f t="shared" si="41"/>
        <v>1.350293542074364E-2</v>
      </c>
      <c r="AH158" s="180">
        <f t="shared" si="45"/>
        <v>4.6370967741935484E-2</v>
      </c>
      <c r="AI158" s="189">
        <v>379</v>
      </c>
      <c r="AJ158" s="125">
        <v>715.76210000000003</v>
      </c>
      <c r="AK158" s="149">
        <v>174</v>
      </c>
      <c r="AL158" s="221">
        <v>105</v>
      </c>
      <c r="AM158" s="216">
        <v>93.382352941176478</v>
      </c>
      <c r="AN158" s="213">
        <v>2.6041666666666665</v>
      </c>
      <c r="AO158" s="127">
        <v>5.1100000000000003</v>
      </c>
      <c r="AP158" s="133">
        <v>1.488</v>
      </c>
      <c r="AQ158" s="224">
        <f t="shared" si="42"/>
        <v>1.2031746031746031</v>
      </c>
      <c r="AR158" s="158">
        <v>315</v>
      </c>
      <c r="AS158" s="229">
        <f t="shared" si="43"/>
        <v>0.64786324786324789</v>
      </c>
      <c r="AT158" s="230">
        <v>585</v>
      </c>
      <c r="AU158" s="203">
        <v>20.052770448548813</v>
      </c>
      <c r="AV158" s="204">
        <v>66.490765171503952</v>
      </c>
      <c r="AW158" s="205">
        <v>13.456464379947231</v>
      </c>
      <c r="AX158" s="123">
        <v>1.9305000000000001</v>
      </c>
      <c r="AY158" s="281">
        <v>12</v>
      </c>
      <c r="AZ158" s="282">
        <v>31.428571428571427</v>
      </c>
      <c r="BA158" s="283">
        <f t="shared" si="44"/>
        <v>56.571428571428569</v>
      </c>
      <c r="BB158" s="234">
        <v>76.92307692307692</v>
      </c>
      <c r="BC158" s="20">
        <v>2016</v>
      </c>
      <c r="BD158" s="263" t="s">
        <v>556</v>
      </c>
      <c r="BE158" s="261" t="s">
        <v>556</v>
      </c>
      <c r="BF158" s="260" t="s">
        <v>557</v>
      </c>
      <c r="BG158" s="256">
        <v>14.246575342465754</v>
      </c>
      <c r="BH158" s="248" t="s">
        <v>556</v>
      </c>
      <c r="BI158" s="249">
        <v>44.475920679886691</v>
      </c>
      <c r="BJ158" s="308" t="s">
        <v>556</v>
      </c>
      <c r="BK158" s="307" t="s">
        <v>557</v>
      </c>
      <c r="BL158" s="319" t="s">
        <v>1728</v>
      </c>
      <c r="BM158" s="320" t="s">
        <v>557</v>
      </c>
      <c r="BN158" s="321" t="s">
        <v>1789</v>
      </c>
      <c r="BO158" s="145" t="s">
        <v>556</v>
      </c>
      <c r="BP158" s="14" t="s">
        <v>556</v>
      </c>
      <c r="BQ158" s="14" t="s">
        <v>557</v>
      </c>
    </row>
    <row r="159" spans="1:70" s="56" customFormat="1" ht="13.95" customHeight="1" x14ac:dyDescent="0.3">
      <c r="A159" s="56" t="s">
        <v>461</v>
      </c>
      <c r="B159" s="77" t="s">
        <v>464</v>
      </c>
      <c r="C159" s="74" t="s">
        <v>114</v>
      </c>
      <c r="D159" s="58">
        <v>5</v>
      </c>
      <c r="E159" s="59" t="s">
        <v>580</v>
      </c>
      <c r="F159" s="60" t="s">
        <v>453</v>
      </c>
      <c r="G159" s="75" t="s">
        <v>113</v>
      </c>
      <c r="H159" s="75" t="s">
        <v>114</v>
      </c>
      <c r="I159" s="76" t="s">
        <v>114</v>
      </c>
      <c r="J159" s="63" t="s">
        <v>1982</v>
      </c>
      <c r="K159" s="99" t="s">
        <v>1080</v>
      </c>
      <c r="L159" s="130">
        <v>493552291</v>
      </c>
      <c r="M159" s="109" t="s">
        <v>537</v>
      </c>
      <c r="N159" s="12" t="s">
        <v>1079</v>
      </c>
      <c r="O159" s="100" t="s">
        <v>1981</v>
      </c>
      <c r="P159" s="131" t="s">
        <v>1980</v>
      </c>
      <c r="Q159" s="67"/>
      <c r="R159" s="68"/>
      <c r="S159" s="99"/>
      <c r="T159" s="65"/>
      <c r="U159" s="172">
        <v>0</v>
      </c>
      <c r="V159" s="135">
        <f t="shared" si="32"/>
        <v>0</v>
      </c>
      <c r="W159" s="173">
        <f t="shared" si="33"/>
        <v>0</v>
      </c>
      <c r="X159" s="69">
        <v>124398</v>
      </c>
      <c r="Y159" s="48">
        <f t="shared" si="34"/>
        <v>57.591666666666669</v>
      </c>
      <c r="Z159" s="137">
        <f t="shared" si="35"/>
        <v>42.712827294017856</v>
      </c>
      <c r="AA159" s="69">
        <v>4000000</v>
      </c>
      <c r="AB159" s="48">
        <f t="shared" si="36"/>
        <v>1851.851851851852</v>
      </c>
      <c r="AC159" s="137">
        <f t="shared" si="37"/>
        <v>1373.4248876675783</v>
      </c>
      <c r="AD159" s="70">
        <f t="shared" si="38"/>
        <v>4124398</v>
      </c>
      <c r="AE159" s="71">
        <f t="shared" si="39"/>
        <v>1909.4435185185184</v>
      </c>
      <c r="AF159" s="193">
        <f t="shared" si="40"/>
        <v>1416.1377149615962</v>
      </c>
      <c r="AG159" s="185">
        <f t="shared" si="41"/>
        <v>1.0935116790837024E-2</v>
      </c>
      <c r="AH159" s="180">
        <f t="shared" si="45"/>
        <v>1.5775092751960221E-2</v>
      </c>
      <c r="AI159" s="189">
        <v>2160</v>
      </c>
      <c r="AJ159" s="126">
        <v>2912.4272000000001</v>
      </c>
      <c r="AK159" s="150">
        <v>806</v>
      </c>
      <c r="AL159" s="221">
        <v>539</v>
      </c>
      <c r="AM159" s="216">
        <v>69.29936305732484</v>
      </c>
      <c r="AN159" s="213">
        <v>11.313518696069032</v>
      </c>
      <c r="AO159" s="128">
        <v>75.433999999999997</v>
      </c>
      <c r="AP159" s="134">
        <v>52.29</v>
      </c>
      <c r="AQ159" s="224">
        <f t="shared" si="42"/>
        <v>1.0953346855983772</v>
      </c>
      <c r="AR159" s="158">
        <v>1972</v>
      </c>
      <c r="AS159" s="229">
        <f t="shared" si="43"/>
        <v>0.70061628284138822</v>
      </c>
      <c r="AT159" s="230">
        <v>3083</v>
      </c>
      <c r="AU159" s="203">
        <v>14.675925925925926</v>
      </c>
      <c r="AV159" s="204">
        <v>67.222222222222229</v>
      </c>
      <c r="AW159" s="205">
        <v>18.101851851851851</v>
      </c>
      <c r="AX159" s="123">
        <v>5.4203999999999999</v>
      </c>
      <c r="AY159" s="281">
        <v>4.2553191489361701</v>
      </c>
      <c r="AZ159" s="282">
        <v>41.321388577827548</v>
      </c>
      <c r="BA159" s="283">
        <f t="shared" si="44"/>
        <v>54.423292273236285</v>
      </c>
      <c r="BB159" s="234">
        <v>78.299776286353477</v>
      </c>
      <c r="BC159" s="20">
        <v>2011</v>
      </c>
      <c r="BD159" s="263" t="s">
        <v>556</v>
      </c>
      <c r="BE159" s="261" t="s">
        <v>556</v>
      </c>
      <c r="BF159" s="259" t="s">
        <v>556</v>
      </c>
      <c r="BG159" s="256">
        <v>68.029556650246306</v>
      </c>
      <c r="BH159" s="248" t="s">
        <v>556</v>
      </c>
      <c r="BI159" s="249">
        <v>34.986522911051217</v>
      </c>
      <c r="BJ159" s="308" t="s">
        <v>556</v>
      </c>
      <c r="BK159" s="307" t="s">
        <v>556</v>
      </c>
      <c r="BL159" s="319" t="s">
        <v>1728</v>
      </c>
      <c r="BM159" s="320" t="s">
        <v>556</v>
      </c>
      <c r="BN159" s="321" t="s">
        <v>1984</v>
      </c>
      <c r="BO159" s="145" t="s">
        <v>556</v>
      </c>
      <c r="BP159" s="14">
        <v>3</v>
      </c>
      <c r="BQ159" s="14" t="s">
        <v>556</v>
      </c>
    </row>
    <row r="160" spans="1:70" s="56" customFormat="1" ht="13.95" customHeight="1" x14ac:dyDescent="0.3">
      <c r="A160" s="56" t="s">
        <v>459</v>
      </c>
      <c r="B160" s="57" t="s">
        <v>462</v>
      </c>
      <c r="C160" s="55" t="s">
        <v>42</v>
      </c>
      <c r="D160" s="58">
        <v>1</v>
      </c>
      <c r="E160" s="59"/>
      <c r="F160" s="60" t="s">
        <v>452</v>
      </c>
      <c r="G160" s="61" t="s">
        <v>11</v>
      </c>
      <c r="H160" s="61" t="s">
        <v>524</v>
      </c>
      <c r="I160" s="62" t="s">
        <v>524</v>
      </c>
      <c r="J160" s="117" t="s">
        <v>1983</v>
      </c>
      <c r="K160" s="99" t="s">
        <v>847</v>
      </c>
      <c r="L160" s="130">
        <v>495499456</v>
      </c>
      <c r="M160" s="109" t="s">
        <v>564</v>
      </c>
      <c r="N160" s="12" t="s">
        <v>848</v>
      </c>
      <c r="O160" s="100"/>
      <c r="P160" s="131">
        <v>737215974</v>
      </c>
      <c r="Q160" s="67"/>
      <c r="R160" s="68"/>
      <c r="S160" s="99"/>
      <c r="T160" s="65"/>
      <c r="U160" s="170">
        <f>600000+36245</f>
        <v>636245</v>
      </c>
      <c r="V160" s="48">
        <f t="shared" si="32"/>
        <v>1844.1884057971015</v>
      </c>
      <c r="W160" s="171">
        <f t="shared" si="33"/>
        <v>812.90638451789891</v>
      </c>
      <c r="X160" s="69">
        <v>107820</v>
      </c>
      <c r="Y160" s="48">
        <f t="shared" si="34"/>
        <v>312.52173913043481</v>
      </c>
      <c r="Z160" s="137">
        <f t="shared" si="35"/>
        <v>137.75757197104866</v>
      </c>
      <c r="AA160" s="69">
        <v>0</v>
      </c>
      <c r="AB160" s="48">
        <f t="shared" si="36"/>
        <v>0</v>
      </c>
      <c r="AC160" s="137">
        <f t="shared" si="37"/>
        <v>0</v>
      </c>
      <c r="AD160" s="70">
        <f t="shared" si="38"/>
        <v>744065</v>
      </c>
      <c r="AE160" s="71">
        <f t="shared" si="39"/>
        <v>2156.710144927536</v>
      </c>
      <c r="AF160" s="193">
        <f t="shared" si="40"/>
        <v>950.66395648894763</v>
      </c>
      <c r="AG160" s="185">
        <f t="shared" si="41"/>
        <v>2.5235373918941834E-2</v>
      </c>
      <c r="AH160" s="180">
        <f t="shared" si="45"/>
        <v>8.4027667984189716E-2</v>
      </c>
      <c r="AI160" s="189">
        <v>345</v>
      </c>
      <c r="AJ160" s="125">
        <v>782.67930000000001</v>
      </c>
      <c r="AK160" s="149">
        <v>158</v>
      </c>
      <c r="AL160" s="221">
        <v>99</v>
      </c>
      <c r="AM160" s="216">
        <v>95.867768595041326</v>
      </c>
      <c r="AN160" s="213">
        <v>10.559006211180124</v>
      </c>
      <c r="AO160" s="127">
        <v>5.8970000000000002</v>
      </c>
      <c r="AP160" s="133">
        <v>1.7709999999999999</v>
      </c>
      <c r="AQ160" s="224">
        <f t="shared" si="42"/>
        <v>1.1274509803921569</v>
      </c>
      <c r="AR160" s="158">
        <v>306</v>
      </c>
      <c r="AS160" s="229">
        <f t="shared" si="43"/>
        <v>0.68862275449101795</v>
      </c>
      <c r="AT160" s="230">
        <v>501</v>
      </c>
      <c r="AU160" s="203">
        <v>13.043478260869565</v>
      </c>
      <c r="AV160" s="204">
        <v>70.14492753623189</v>
      </c>
      <c r="AW160" s="205">
        <v>16.811594202898551</v>
      </c>
      <c r="AX160" s="123">
        <v>7.1429</v>
      </c>
      <c r="AY160" s="281">
        <v>15.976331360946746</v>
      </c>
      <c r="AZ160" s="282">
        <v>35.502958579881657</v>
      </c>
      <c r="BA160" s="283">
        <f t="shared" si="44"/>
        <v>48.520710059171599</v>
      </c>
      <c r="BB160" s="234">
        <v>67.241379310344826</v>
      </c>
      <c r="BC160" s="20">
        <v>1998</v>
      </c>
      <c r="BD160" s="263" t="s">
        <v>556</v>
      </c>
      <c r="BE160" s="261" t="s">
        <v>556</v>
      </c>
      <c r="BF160" s="259" t="s">
        <v>556</v>
      </c>
      <c r="BG160" s="256">
        <v>88.235294117647058</v>
      </c>
      <c r="BH160" s="248" t="s">
        <v>556</v>
      </c>
      <c r="BI160" s="249">
        <v>70.121951219512198</v>
      </c>
      <c r="BJ160" s="308" t="s">
        <v>556</v>
      </c>
      <c r="BK160" s="307" t="s">
        <v>557</v>
      </c>
      <c r="BL160" s="319" t="s">
        <v>1728</v>
      </c>
      <c r="BM160" s="320" t="s">
        <v>556</v>
      </c>
      <c r="BN160" s="321" t="s">
        <v>1803</v>
      </c>
      <c r="BO160" s="145" t="s">
        <v>557</v>
      </c>
      <c r="BP160" s="14" t="s">
        <v>556</v>
      </c>
      <c r="BQ160" s="14" t="s">
        <v>557</v>
      </c>
    </row>
    <row r="161" spans="1:70" s="56" customFormat="1" ht="13.95" customHeight="1" x14ac:dyDescent="0.3">
      <c r="A161" s="56" t="s">
        <v>459</v>
      </c>
      <c r="B161" s="57" t="s">
        <v>462</v>
      </c>
      <c r="C161" s="55" t="s">
        <v>43</v>
      </c>
      <c r="D161" s="58">
        <v>1</v>
      </c>
      <c r="E161" s="59"/>
      <c r="F161" s="60" t="s">
        <v>452</v>
      </c>
      <c r="G161" s="61" t="s">
        <v>11</v>
      </c>
      <c r="H161" s="61" t="s">
        <v>524</v>
      </c>
      <c r="I161" s="62" t="s">
        <v>524</v>
      </c>
      <c r="J161" s="63" t="s">
        <v>1986</v>
      </c>
      <c r="K161" s="99" t="s">
        <v>849</v>
      </c>
      <c r="L161" s="130">
        <v>495499425</v>
      </c>
      <c r="M161" s="109" t="s">
        <v>564</v>
      </c>
      <c r="N161" s="12" t="s">
        <v>850</v>
      </c>
      <c r="O161" s="100"/>
      <c r="P161" s="131">
        <v>777751066</v>
      </c>
      <c r="Q161" s="67"/>
      <c r="R161" s="68"/>
      <c r="S161" s="99"/>
      <c r="T161" s="65"/>
      <c r="U161" s="170">
        <v>0</v>
      </c>
      <c r="V161" s="48">
        <f t="shared" si="32"/>
        <v>0</v>
      </c>
      <c r="W161" s="171">
        <f t="shared" si="33"/>
        <v>0</v>
      </c>
      <c r="X161" s="69">
        <v>40000</v>
      </c>
      <c r="Y161" s="48">
        <f t="shared" si="34"/>
        <v>112.99435028248588</v>
      </c>
      <c r="Z161" s="137">
        <f t="shared" si="35"/>
        <v>51.024391189720419</v>
      </c>
      <c r="AA161" s="69">
        <v>0</v>
      </c>
      <c r="AB161" s="48">
        <f t="shared" si="36"/>
        <v>0</v>
      </c>
      <c r="AC161" s="137">
        <f t="shared" si="37"/>
        <v>0</v>
      </c>
      <c r="AD161" s="70">
        <f t="shared" si="38"/>
        <v>40000</v>
      </c>
      <c r="AE161" s="71">
        <f t="shared" si="39"/>
        <v>112.99435028248588</v>
      </c>
      <c r="AF161" s="193">
        <f t="shared" si="40"/>
        <v>51.024391189720419</v>
      </c>
      <c r="AG161" s="185">
        <f t="shared" si="41"/>
        <v>2.5889967637540453E-3</v>
      </c>
      <c r="AH161" s="180">
        <f t="shared" si="45"/>
        <v>4.6783625730994143E-2</v>
      </c>
      <c r="AI161" s="189">
        <v>354</v>
      </c>
      <c r="AJ161" s="125">
        <v>783.93880000000001</v>
      </c>
      <c r="AK161" s="149">
        <v>130</v>
      </c>
      <c r="AL161" s="221">
        <v>92</v>
      </c>
      <c r="AM161" s="216">
        <v>83.07692307692308</v>
      </c>
      <c r="AN161" s="213">
        <v>11.042944785276074</v>
      </c>
      <c r="AO161" s="127">
        <v>3.09</v>
      </c>
      <c r="AP161" s="133">
        <v>0.17100000000000001</v>
      </c>
      <c r="AQ161" s="224">
        <f t="shared" si="42"/>
        <v>0.98333333333333328</v>
      </c>
      <c r="AR161" s="158">
        <v>360</v>
      </c>
      <c r="AS161" s="229">
        <f t="shared" si="43"/>
        <v>0.69411764705882351</v>
      </c>
      <c r="AT161" s="230">
        <v>510</v>
      </c>
      <c r="AU161" s="203">
        <v>12.994350282485875</v>
      </c>
      <c r="AV161" s="204">
        <v>66.384180790960457</v>
      </c>
      <c r="AW161" s="205">
        <v>20.621468926553671</v>
      </c>
      <c r="AX161" s="123">
        <v>5.2862999999999998</v>
      </c>
      <c r="AY161" s="281">
        <v>14.093959731543624</v>
      </c>
      <c r="AZ161" s="282">
        <v>41.61073825503356</v>
      </c>
      <c r="BA161" s="283">
        <f t="shared" si="44"/>
        <v>44.29530201342282</v>
      </c>
      <c r="BB161" s="234">
        <v>89</v>
      </c>
      <c r="BC161" s="20">
        <v>2017</v>
      </c>
      <c r="BD161" s="263" t="s">
        <v>556</v>
      </c>
      <c r="BE161" s="261" t="s">
        <v>556</v>
      </c>
      <c r="BF161" s="259" t="s">
        <v>556</v>
      </c>
      <c r="BG161" s="256">
        <v>95.744680851063833</v>
      </c>
      <c r="BH161" s="248" t="s">
        <v>556</v>
      </c>
      <c r="BI161" s="249">
        <v>80.188679245283026</v>
      </c>
      <c r="BJ161" s="309" t="s">
        <v>557</v>
      </c>
      <c r="BK161" s="307" t="s">
        <v>750</v>
      </c>
      <c r="BL161" s="319" t="s">
        <v>1728</v>
      </c>
      <c r="BM161" s="320" t="s">
        <v>556</v>
      </c>
      <c r="BN161" s="321" t="s">
        <v>1803</v>
      </c>
      <c r="BO161" s="145" t="s">
        <v>556</v>
      </c>
      <c r="BP161" s="14" t="s">
        <v>556</v>
      </c>
      <c r="BQ161" s="14" t="s">
        <v>557</v>
      </c>
    </row>
    <row r="162" spans="1:70" s="56" customFormat="1" ht="13.95" customHeight="1" x14ac:dyDescent="0.3">
      <c r="A162" s="56" t="s">
        <v>459</v>
      </c>
      <c r="B162" s="57" t="s">
        <v>462</v>
      </c>
      <c r="C162" s="55" t="s">
        <v>153</v>
      </c>
      <c r="D162" s="58">
        <v>1</v>
      </c>
      <c r="E162" s="59"/>
      <c r="F162" s="60" t="s">
        <v>453</v>
      </c>
      <c r="G162" s="61" t="s">
        <v>113</v>
      </c>
      <c r="H162" s="61" t="s">
        <v>113</v>
      </c>
      <c r="I162" s="62" t="s">
        <v>113</v>
      </c>
      <c r="J162" s="117" t="s">
        <v>1985</v>
      </c>
      <c r="K162" s="99" t="s">
        <v>1082</v>
      </c>
      <c r="L162" s="130">
        <v>493557153</v>
      </c>
      <c r="M162" s="109" t="s">
        <v>564</v>
      </c>
      <c r="N162" s="12" t="s">
        <v>1081</v>
      </c>
      <c r="O162" s="100"/>
      <c r="P162" s="131">
        <v>733607792</v>
      </c>
      <c r="Q162" s="67"/>
      <c r="R162" s="68"/>
      <c r="S162" s="99"/>
      <c r="T162" s="65"/>
      <c r="U162" s="170">
        <v>0</v>
      </c>
      <c r="V162" s="48">
        <f t="shared" si="32"/>
        <v>0</v>
      </c>
      <c r="W162" s="171">
        <f t="shared" si="33"/>
        <v>0</v>
      </c>
      <c r="X162" s="69">
        <v>0</v>
      </c>
      <c r="Y162" s="48">
        <f t="shared" si="34"/>
        <v>0</v>
      </c>
      <c r="Z162" s="137">
        <f t="shared" si="35"/>
        <v>0</v>
      </c>
      <c r="AA162" s="69">
        <v>0</v>
      </c>
      <c r="AB162" s="48">
        <f t="shared" si="36"/>
        <v>0</v>
      </c>
      <c r="AC162" s="137">
        <f t="shared" si="37"/>
        <v>0</v>
      </c>
      <c r="AD162" s="70">
        <f t="shared" si="38"/>
        <v>0</v>
      </c>
      <c r="AE162" s="71">
        <f t="shared" si="39"/>
        <v>0</v>
      </c>
      <c r="AF162" s="193">
        <f t="shared" si="40"/>
        <v>0</v>
      </c>
      <c r="AG162" s="185">
        <f t="shared" si="41"/>
        <v>0</v>
      </c>
      <c r="AH162" s="180">
        <f t="shared" si="45"/>
        <v>0</v>
      </c>
      <c r="AI162" s="189">
        <v>38</v>
      </c>
      <c r="AJ162" s="125">
        <v>226.46960000000001</v>
      </c>
      <c r="AK162" s="149">
        <v>23</v>
      </c>
      <c r="AL162" s="221">
        <v>13</v>
      </c>
      <c r="AM162" s="216">
        <v>100</v>
      </c>
      <c r="AN162" s="213">
        <v>40.909090909090907</v>
      </c>
      <c r="AO162" s="127">
        <v>0.50600000000000001</v>
      </c>
      <c r="AP162" s="133">
        <v>7.4999999999999997E-2</v>
      </c>
      <c r="AQ162" s="224">
        <f t="shared" si="42"/>
        <v>0.73076923076923073</v>
      </c>
      <c r="AR162" s="158">
        <v>52</v>
      </c>
      <c r="AS162" s="229">
        <f t="shared" si="43"/>
        <v>0.30158730158730157</v>
      </c>
      <c r="AT162" s="230">
        <v>126</v>
      </c>
      <c r="AU162" s="203">
        <v>15.789473684210526</v>
      </c>
      <c r="AV162" s="204">
        <v>63.15789473684211</v>
      </c>
      <c r="AW162" s="205">
        <v>21.052631578947366</v>
      </c>
      <c r="AX162" s="123">
        <v>0</v>
      </c>
      <c r="AY162" s="281">
        <v>11.76470588235294</v>
      </c>
      <c r="AZ162" s="282">
        <v>23.52941176470588</v>
      </c>
      <c r="BA162" s="283">
        <f t="shared" si="44"/>
        <v>64.705882352941174</v>
      </c>
      <c r="BB162" s="234">
        <v>100</v>
      </c>
      <c r="BC162" s="20">
        <v>2002</v>
      </c>
      <c r="BD162" s="264" t="s">
        <v>557</v>
      </c>
      <c r="BE162" s="262" t="s">
        <v>557</v>
      </c>
      <c r="BF162" s="260" t="s">
        <v>557</v>
      </c>
      <c r="BG162" s="256">
        <v>0</v>
      </c>
      <c r="BH162" s="254" t="s">
        <v>557</v>
      </c>
      <c r="BI162" s="249">
        <v>0</v>
      </c>
      <c r="BJ162" s="309" t="s">
        <v>557</v>
      </c>
      <c r="BK162" s="307" t="s">
        <v>557</v>
      </c>
      <c r="BL162" s="319" t="s">
        <v>1728</v>
      </c>
      <c r="BM162" s="320" t="s">
        <v>557</v>
      </c>
      <c r="BN162" s="321" t="s">
        <v>557</v>
      </c>
      <c r="BO162" s="145" t="s">
        <v>557</v>
      </c>
      <c r="BP162" s="14" t="s">
        <v>556</v>
      </c>
      <c r="BQ162" s="14" t="s">
        <v>557</v>
      </c>
    </row>
    <row r="163" spans="1:70" s="72" customFormat="1" ht="13.95" customHeight="1" x14ac:dyDescent="0.3">
      <c r="A163" s="56" t="s">
        <v>460</v>
      </c>
      <c r="B163" s="77" t="s">
        <v>464</v>
      </c>
      <c r="C163" s="74" t="s">
        <v>301</v>
      </c>
      <c r="D163" s="58">
        <v>4</v>
      </c>
      <c r="E163" s="59" t="s">
        <v>695</v>
      </c>
      <c r="F163" s="60" t="s">
        <v>455</v>
      </c>
      <c r="G163" s="75" t="s">
        <v>529</v>
      </c>
      <c r="H163" s="75" t="s">
        <v>529</v>
      </c>
      <c r="I163" s="76" t="s">
        <v>529</v>
      </c>
      <c r="J163" s="63" t="s">
        <v>1989</v>
      </c>
      <c r="K163" s="99" t="s">
        <v>1988</v>
      </c>
      <c r="L163" s="130">
        <v>494337111</v>
      </c>
      <c r="M163" s="109" t="s">
        <v>564</v>
      </c>
      <c r="N163" s="12" t="s">
        <v>1442</v>
      </c>
      <c r="O163" s="100" t="s">
        <v>1441</v>
      </c>
      <c r="P163" s="131" t="s">
        <v>1987</v>
      </c>
      <c r="Q163" s="67"/>
      <c r="R163" s="68"/>
      <c r="S163" s="99"/>
      <c r="T163" s="112"/>
      <c r="U163" s="172">
        <v>0</v>
      </c>
      <c r="V163" s="135">
        <f t="shared" si="32"/>
        <v>0</v>
      </c>
      <c r="W163" s="173">
        <f t="shared" si="33"/>
        <v>0</v>
      </c>
      <c r="X163" s="69">
        <f>1103271+63000+122000</f>
        <v>1288271</v>
      </c>
      <c r="Y163" s="48">
        <f t="shared" si="34"/>
        <v>208.32325355756791</v>
      </c>
      <c r="Z163" s="137">
        <f t="shared" si="35"/>
        <v>491.64287521576409</v>
      </c>
      <c r="AA163" s="69">
        <v>0</v>
      </c>
      <c r="AB163" s="48">
        <f t="shared" si="36"/>
        <v>0</v>
      </c>
      <c r="AC163" s="137">
        <f t="shared" si="37"/>
        <v>0</v>
      </c>
      <c r="AD163" s="70">
        <f t="shared" si="38"/>
        <v>1288271</v>
      </c>
      <c r="AE163" s="71">
        <f t="shared" si="39"/>
        <v>208.32325355756791</v>
      </c>
      <c r="AF163" s="193">
        <f t="shared" si="40"/>
        <v>491.64287521576409</v>
      </c>
      <c r="AG163" s="185">
        <f t="shared" si="41"/>
        <v>2.3357284017768106E-3</v>
      </c>
      <c r="AH163" s="180">
        <f t="shared" si="45"/>
        <v>1.4762745659771958E-2</v>
      </c>
      <c r="AI163" s="189">
        <v>6184</v>
      </c>
      <c r="AJ163" s="126">
        <v>2620.3389999999999</v>
      </c>
      <c r="AK163" s="150">
        <v>1858</v>
      </c>
      <c r="AL163" s="221">
        <v>1274</v>
      </c>
      <c r="AM163" s="216">
        <v>49.2930086410055</v>
      </c>
      <c r="AN163" s="213">
        <v>1.1830201809324983</v>
      </c>
      <c r="AO163" s="128">
        <v>110.31</v>
      </c>
      <c r="AP163" s="134">
        <v>17.452999999999999</v>
      </c>
      <c r="AQ163" s="224">
        <f t="shared" si="42"/>
        <v>0.95801704105344698</v>
      </c>
      <c r="AR163" s="158">
        <v>6455</v>
      </c>
      <c r="AS163" s="229">
        <f t="shared" si="43"/>
        <v>1.0260494441679111</v>
      </c>
      <c r="AT163" s="230">
        <v>6027</v>
      </c>
      <c r="AU163" s="203">
        <v>15.572445019404915</v>
      </c>
      <c r="AV163" s="204">
        <v>63.389391979301429</v>
      </c>
      <c r="AW163" s="205">
        <v>21.038163001293661</v>
      </c>
      <c r="AX163" s="123">
        <v>3.645</v>
      </c>
      <c r="AY163" s="281">
        <v>1.9495412844036699</v>
      </c>
      <c r="AZ163" s="282">
        <v>37.003058103975533</v>
      </c>
      <c r="BA163" s="283">
        <f t="shared" si="44"/>
        <v>61.047400611620802</v>
      </c>
      <c r="BB163" s="234">
        <v>45.42440318302387</v>
      </c>
      <c r="BC163" s="20">
        <v>2011</v>
      </c>
      <c r="BD163" s="263" t="s">
        <v>556</v>
      </c>
      <c r="BE163" s="261" t="s">
        <v>556</v>
      </c>
      <c r="BF163" s="259" t="s">
        <v>556</v>
      </c>
      <c r="BG163" s="256">
        <v>81.417721518987335</v>
      </c>
      <c r="BH163" s="248" t="s">
        <v>556</v>
      </c>
      <c r="BI163" s="249">
        <v>56.647398843930638</v>
      </c>
      <c r="BJ163" s="311" t="s">
        <v>1714</v>
      </c>
      <c r="BK163" s="307" t="s">
        <v>556</v>
      </c>
      <c r="BL163" s="319" t="s">
        <v>1728</v>
      </c>
      <c r="BM163" s="320" t="s">
        <v>556</v>
      </c>
      <c r="BN163" s="321" t="s">
        <v>1990</v>
      </c>
      <c r="BO163" s="145" t="s">
        <v>556</v>
      </c>
      <c r="BP163" s="14" t="s">
        <v>556</v>
      </c>
      <c r="BQ163" s="14" t="s">
        <v>556</v>
      </c>
      <c r="BR163" s="56"/>
    </row>
    <row r="164" spans="1:70" s="56" customFormat="1" ht="13.95" customHeight="1" x14ac:dyDescent="0.3">
      <c r="A164" s="56" t="s">
        <v>459</v>
      </c>
      <c r="B164" s="57" t="s">
        <v>462</v>
      </c>
      <c r="C164" s="55" t="s">
        <v>330</v>
      </c>
      <c r="D164" s="58">
        <v>1</v>
      </c>
      <c r="E164" s="59"/>
      <c r="F164" s="60" t="s">
        <v>455</v>
      </c>
      <c r="G164" s="61" t="s">
        <v>529</v>
      </c>
      <c r="H164" s="61" t="s">
        <v>529</v>
      </c>
      <c r="I164" s="62" t="s">
        <v>529</v>
      </c>
      <c r="J164" s="63" t="s">
        <v>1991</v>
      </c>
      <c r="K164" s="99" t="s">
        <v>1444</v>
      </c>
      <c r="L164" s="130">
        <v>494547205</v>
      </c>
      <c r="M164" s="109" t="s">
        <v>564</v>
      </c>
      <c r="N164" s="12" t="s">
        <v>1443</v>
      </c>
      <c r="O164" s="100"/>
      <c r="P164" s="131">
        <v>724186819</v>
      </c>
      <c r="Q164" s="67"/>
      <c r="R164" s="68"/>
      <c r="S164" s="99"/>
      <c r="T164" s="112"/>
      <c r="U164" s="170">
        <v>164000</v>
      </c>
      <c r="V164" s="48">
        <f t="shared" si="32"/>
        <v>1188.4057971014493</v>
      </c>
      <c r="W164" s="171">
        <f t="shared" si="33"/>
        <v>123.77731223755342</v>
      </c>
      <c r="X164" s="69">
        <v>6000</v>
      </c>
      <c r="Y164" s="48">
        <f t="shared" si="34"/>
        <v>43.478260869565219</v>
      </c>
      <c r="Z164" s="137">
        <f t="shared" si="35"/>
        <v>4.5284382525934177</v>
      </c>
      <c r="AA164" s="69">
        <v>0</v>
      </c>
      <c r="AB164" s="48">
        <f t="shared" si="36"/>
        <v>0</v>
      </c>
      <c r="AC164" s="137">
        <f t="shared" si="37"/>
        <v>0</v>
      </c>
      <c r="AD164" s="70">
        <f t="shared" si="38"/>
        <v>170000</v>
      </c>
      <c r="AE164" s="71">
        <f t="shared" si="39"/>
        <v>1231.8840579710145</v>
      </c>
      <c r="AF164" s="193">
        <f t="shared" si="40"/>
        <v>128.30575049014683</v>
      </c>
      <c r="AG164" s="185">
        <f t="shared" si="41"/>
        <v>1.5205724508050087E-2</v>
      </c>
      <c r="AH164" s="180">
        <f t="shared" si="45"/>
        <v>7.4889867841409691E-2</v>
      </c>
      <c r="AI164" s="189">
        <v>138</v>
      </c>
      <c r="AJ164" s="125">
        <v>1324.9601</v>
      </c>
      <c r="AK164" s="149">
        <v>63</v>
      </c>
      <c r="AL164" s="221">
        <v>36</v>
      </c>
      <c r="AM164" s="216">
        <v>100</v>
      </c>
      <c r="AN164" s="213">
        <v>1.6949152542372883</v>
      </c>
      <c r="AO164" s="127">
        <v>2.2360000000000002</v>
      </c>
      <c r="AP164" s="133">
        <v>0.45400000000000001</v>
      </c>
      <c r="AQ164" s="224">
        <f t="shared" si="42"/>
        <v>0.9261744966442953</v>
      </c>
      <c r="AR164" s="158">
        <v>149</v>
      </c>
      <c r="AS164" s="229">
        <f t="shared" si="43"/>
        <v>0.47586206896551725</v>
      </c>
      <c r="AT164" s="230">
        <v>290</v>
      </c>
      <c r="AU164" s="203">
        <v>15.217391304347828</v>
      </c>
      <c r="AV164" s="204">
        <v>65.217391304347828</v>
      </c>
      <c r="AW164" s="205">
        <v>19.565217391304348</v>
      </c>
      <c r="AX164" s="123">
        <v>3.2608999999999999</v>
      </c>
      <c r="AY164" s="281">
        <v>16.363636363636363</v>
      </c>
      <c r="AZ164" s="282">
        <v>40</v>
      </c>
      <c r="BA164" s="283">
        <f t="shared" si="44"/>
        <v>43.63636363636364</v>
      </c>
      <c r="BB164" s="234">
        <v>87.5</v>
      </c>
      <c r="BC164" s="20">
        <v>2009</v>
      </c>
      <c r="BD164" s="263" t="s">
        <v>556</v>
      </c>
      <c r="BE164" s="262" t="s">
        <v>557</v>
      </c>
      <c r="BF164" s="260" t="s">
        <v>557</v>
      </c>
      <c r="BG164" s="256">
        <v>0</v>
      </c>
      <c r="BH164" s="254" t="s">
        <v>557</v>
      </c>
      <c r="BI164" s="249">
        <v>0</v>
      </c>
      <c r="BJ164" s="309" t="s">
        <v>557</v>
      </c>
      <c r="BK164" s="307" t="s">
        <v>557</v>
      </c>
      <c r="BL164" s="319" t="s">
        <v>1728</v>
      </c>
      <c r="BM164" s="320" t="s">
        <v>556</v>
      </c>
      <c r="BN164" s="321" t="s">
        <v>1803</v>
      </c>
      <c r="BO164" s="145" t="s">
        <v>557</v>
      </c>
      <c r="BP164" s="14" t="s">
        <v>557</v>
      </c>
      <c r="BQ164" s="14" t="s">
        <v>557</v>
      </c>
      <c r="BR164" s="72"/>
    </row>
    <row r="165" spans="1:70" s="56" customFormat="1" ht="13.95" customHeight="1" x14ac:dyDescent="0.3">
      <c r="A165" s="56" t="s">
        <v>459</v>
      </c>
      <c r="B165" s="57" t="s">
        <v>462</v>
      </c>
      <c r="C165" s="55" t="s">
        <v>331</v>
      </c>
      <c r="D165" s="58">
        <v>5</v>
      </c>
      <c r="E165" s="59" t="s">
        <v>696</v>
      </c>
      <c r="F165" s="60" t="s">
        <v>455</v>
      </c>
      <c r="G165" s="61" t="s">
        <v>304</v>
      </c>
      <c r="H165" s="61" t="s">
        <v>304</v>
      </c>
      <c r="I165" s="62" t="s">
        <v>304</v>
      </c>
      <c r="J165" s="63" t="s">
        <v>1992</v>
      </c>
      <c r="K165" s="99" t="s">
        <v>1446</v>
      </c>
      <c r="L165" s="130">
        <v>494664224</v>
      </c>
      <c r="M165" s="109" t="s">
        <v>564</v>
      </c>
      <c r="N165" s="12" t="s">
        <v>1445</v>
      </c>
      <c r="O165" s="100"/>
      <c r="P165" s="131">
        <v>602650678</v>
      </c>
      <c r="Q165" s="67"/>
      <c r="R165" s="68"/>
      <c r="S165" s="99"/>
      <c r="T165" s="112"/>
      <c r="U165" s="170">
        <f>23350+280000+167372</f>
        <v>470722</v>
      </c>
      <c r="V165" s="48">
        <f t="shared" si="32"/>
        <v>1875.386454183267</v>
      </c>
      <c r="W165" s="171">
        <f t="shared" si="33"/>
        <v>414.80686430536537</v>
      </c>
      <c r="X165" s="69">
        <v>80000</v>
      </c>
      <c r="Y165" s="48">
        <f t="shared" si="34"/>
        <v>318.72509960159363</v>
      </c>
      <c r="Z165" s="137">
        <f t="shared" si="35"/>
        <v>70.497128123243073</v>
      </c>
      <c r="AA165" s="69">
        <v>0</v>
      </c>
      <c r="AB165" s="48">
        <f t="shared" si="36"/>
        <v>0</v>
      </c>
      <c r="AC165" s="137">
        <f t="shared" si="37"/>
        <v>0</v>
      </c>
      <c r="AD165" s="70">
        <f t="shared" si="38"/>
        <v>550722</v>
      </c>
      <c r="AE165" s="71">
        <f t="shared" si="39"/>
        <v>2194.1115537848605</v>
      </c>
      <c r="AF165" s="193">
        <f t="shared" si="40"/>
        <v>485.30399242860847</v>
      </c>
      <c r="AG165" s="185">
        <f t="shared" si="41"/>
        <v>3.1026591549295778E-2</v>
      </c>
      <c r="AH165" s="180">
        <f t="shared" si="45"/>
        <v>0.39197295373665475</v>
      </c>
      <c r="AI165" s="189">
        <v>251</v>
      </c>
      <c r="AJ165" s="125">
        <v>1134.798</v>
      </c>
      <c r="AK165" s="149">
        <v>268</v>
      </c>
      <c r="AL165" s="221">
        <v>75</v>
      </c>
      <c r="AM165" s="216">
        <v>89.65517241379311</v>
      </c>
      <c r="AN165" s="213">
        <v>62.068965517241395</v>
      </c>
      <c r="AO165" s="127">
        <v>3.55</v>
      </c>
      <c r="AP165" s="133">
        <v>0.28100000000000003</v>
      </c>
      <c r="AQ165" s="224">
        <f t="shared" si="42"/>
        <v>0.92962962962962958</v>
      </c>
      <c r="AR165" s="158">
        <v>270</v>
      </c>
      <c r="AS165" s="229">
        <f t="shared" si="43"/>
        <v>0.25125125125125125</v>
      </c>
      <c r="AT165" s="230">
        <v>999</v>
      </c>
      <c r="AU165" s="203">
        <v>17.928286852589643</v>
      </c>
      <c r="AV165" s="204">
        <v>65.73705179282868</v>
      </c>
      <c r="AW165" s="205">
        <v>16.334661354581673</v>
      </c>
      <c r="AX165" s="123">
        <v>3.681</v>
      </c>
      <c r="AY165" s="281">
        <v>9.5744680851063837</v>
      </c>
      <c r="AZ165" s="282">
        <v>40.425531914893611</v>
      </c>
      <c r="BA165" s="283">
        <f t="shared" si="44"/>
        <v>50</v>
      </c>
      <c r="BB165" s="234">
        <v>82.926829268292693</v>
      </c>
      <c r="BC165" s="20">
        <v>2000</v>
      </c>
      <c r="BD165" s="263" t="s">
        <v>556</v>
      </c>
      <c r="BE165" s="261" t="s">
        <v>556</v>
      </c>
      <c r="BF165" s="259" t="s">
        <v>556</v>
      </c>
      <c r="BG165" s="256">
        <v>58.18181818181818</v>
      </c>
      <c r="BH165" s="254" t="s">
        <v>557</v>
      </c>
      <c r="BI165" s="249">
        <v>0</v>
      </c>
      <c r="BJ165" s="309" t="s">
        <v>557</v>
      </c>
      <c r="BK165" s="307" t="s">
        <v>557</v>
      </c>
      <c r="BL165" s="319" t="s">
        <v>1728</v>
      </c>
      <c r="BM165" s="320" t="s">
        <v>556</v>
      </c>
      <c r="BN165" s="321" t="s">
        <v>1838</v>
      </c>
      <c r="BO165" s="145" t="s">
        <v>556</v>
      </c>
      <c r="BP165" s="14" t="s">
        <v>556</v>
      </c>
      <c r="BQ165" s="14" t="s">
        <v>557</v>
      </c>
    </row>
    <row r="166" spans="1:70" s="56" customFormat="1" ht="13.95" customHeight="1" x14ac:dyDescent="0.3">
      <c r="A166" s="56" t="s">
        <v>459</v>
      </c>
      <c r="B166" s="57" t="s">
        <v>462</v>
      </c>
      <c r="C166" s="55" t="s">
        <v>154</v>
      </c>
      <c r="D166" s="58">
        <v>1</v>
      </c>
      <c r="E166" s="59"/>
      <c r="F166" s="60" t="s">
        <v>453</v>
      </c>
      <c r="G166" s="61" t="s">
        <v>113</v>
      </c>
      <c r="H166" s="61" t="s">
        <v>113</v>
      </c>
      <c r="I166" s="62" t="s">
        <v>113</v>
      </c>
      <c r="J166" s="117" t="s">
        <v>1993</v>
      </c>
      <c r="K166" s="99" t="s">
        <v>1084</v>
      </c>
      <c r="L166" s="130">
        <v>724179875</v>
      </c>
      <c r="M166" s="109" t="s">
        <v>564</v>
      </c>
      <c r="N166" s="12" t="s">
        <v>1083</v>
      </c>
      <c r="O166" s="100"/>
      <c r="P166" s="131">
        <v>602450833</v>
      </c>
      <c r="Q166" s="67"/>
      <c r="R166" s="68"/>
      <c r="S166" s="99"/>
      <c r="T166" s="65"/>
      <c r="U166" s="170">
        <v>130000</v>
      </c>
      <c r="V166" s="48">
        <f t="shared" si="32"/>
        <v>1015.625</v>
      </c>
      <c r="W166" s="171">
        <f t="shared" si="33"/>
        <v>168.29208774749455</v>
      </c>
      <c r="X166" s="69">
        <v>94230</v>
      </c>
      <c r="Y166" s="48">
        <f t="shared" si="34"/>
        <v>736.171875</v>
      </c>
      <c r="Z166" s="137">
        <f t="shared" si="35"/>
        <v>121.98587252651086</v>
      </c>
      <c r="AA166" s="69">
        <v>0</v>
      </c>
      <c r="AB166" s="48">
        <f t="shared" si="36"/>
        <v>0</v>
      </c>
      <c r="AC166" s="137">
        <f t="shared" si="37"/>
        <v>0</v>
      </c>
      <c r="AD166" s="70">
        <f t="shared" si="38"/>
        <v>224230</v>
      </c>
      <c r="AE166" s="71">
        <f t="shared" si="39"/>
        <v>1751.796875</v>
      </c>
      <c r="AF166" s="193">
        <f t="shared" si="40"/>
        <v>290.27796027400541</v>
      </c>
      <c r="AG166" s="185">
        <f t="shared" si="41"/>
        <v>3.2286537077033835E-2</v>
      </c>
      <c r="AH166" s="180">
        <f t="shared" si="45"/>
        <v>0.84615094339622643</v>
      </c>
      <c r="AI166" s="189">
        <v>128</v>
      </c>
      <c r="AJ166" s="125">
        <v>772.4665</v>
      </c>
      <c r="AK166" s="149">
        <v>70</v>
      </c>
      <c r="AL166" s="221">
        <v>38</v>
      </c>
      <c r="AM166" s="216">
        <v>82.978723404255319</v>
      </c>
      <c r="AN166" s="213">
        <v>7.8947368421052628</v>
      </c>
      <c r="AO166" s="127">
        <v>1.389</v>
      </c>
      <c r="AP166" s="133">
        <v>5.2999999999999999E-2</v>
      </c>
      <c r="AQ166" s="224">
        <f t="shared" si="42"/>
        <v>1.28</v>
      </c>
      <c r="AR166" s="158">
        <v>100</v>
      </c>
      <c r="AS166" s="229">
        <f t="shared" si="43"/>
        <v>0.43986254295532645</v>
      </c>
      <c r="AT166" s="230">
        <v>291</v>
      </c>
      <c r="AU166" s="203">
        <v>17.1875</v>
      </c>
      <c r="AV166" s="204">
        <v>63.28125</v>
      </c>
      <c r="AW166" s="205">
        <v>19.53125</v>
      </c>
      <c r="AX166" s="123">
        <v>3.3332999999999999</v>
      </c>
      <c r="AY166" s="281">
        <v>10.909090909090908</v>
      </c>
      <c r="AZ166" s="282">
        <v>40</v>
      </c>
      <c r="BA166" s="283">
        <f t="shared" si="44"/>
        <v>49.090909090909093</v>
      </c>
      <c r="BB166" s="234">
        <v>96.666666666666671</v>
      </c>
      <c r="BC166" s="20">
        <v>2018</v>
      </c>
      <c r="BD166" s="263" t="s">
        <v>556</v>
      </c>
      <c r="BE166" s="262" t="s">
        <v>557</v>
      </c>
      <c r="BF166" s="260" t="s">
        <v>557</v>
      </c>
      <c r="BG166" s="256">
        <v>0</v>
      </c>
      <c r="BH166" s="248" t="s">
        <v>556</v>
      </c>
      <c r="BI166" s="249">
        <v>53.174603174603178</v>
      </c>
      <c r="BJ166" s="309" t="s">
        <v>557</v>
      </c>
      <c r="BK166" s="307" t="s">
        <v>557</v>
      </c>
      <c r="BL166" s="319" t="s">
        <v>557</v>
      </c>
      <c r="BM166" s="320" t="s">
        <v>557</v>
      </c>
      <c r="BN166" s="321" t="s">
        <v>557</v>
      </c>
      <c r="BO166" s="145" t="s">
        <v>557</v>
      </c>
      <c r="BP166" s="14" t="s">
        <v>557</v>
      </c>
      <c r="BQ166" s="14" t="s">
        <v>556</v>
      </c>
      <c r="BR166" s="3"/>
    </row>
    <row r="167" spans="1:70" s="56" customFormat="1" ht="13.95" customHeight="1" x14ac:dyDescent="0.3">
      <c r="A167" s="56" t="s">
        <v>459</v>
      </c>
      <c r="B167" s="57" t="s">
        <v>462</v>
      </c>
      <c r="C167" s="55" t="s">
        <v>155</v>
      </c>
      <c r="D167" s="58">
        <v>1</v>
      </c>
      <c r="E167" s="59"/>
      <c r="F167" s="60" t="s">
        <v>453</v>
      </c>
      <c r="G167" s="61" t="s">
        <v>113</v>
      </c>
      <c r="H167" s="61" t="s">
        <v>113</v>
      </c>
      <c r="I167" s="62" t="s">
        <v>156</v>
      </c>
      <c r="J167" s="63" t="s">
        <v>1994</v>
      </c>
      <c r="K167" s="99" t="s">
        <v>1085</v>
      </c>
      <c r="L167" s="130">
        <v>493595151</v>
      </c>
      <c r="M167" s="109" t="s">
        <v>564</v>
      </c>
      <c r="N167" s="12" t="s">
        <v>1086</v>
      </c>
      <c r="O167" s="100"/>
      <c r="P167" s="131">
        <v>724008022</v>
      </c>
      <c r="Q167" s="67"/>
      <c r="R167" s="68"/>
      <c r="S167" s="99"/>
      <c r="T167" s="65"/>
      <c r="U167" s="170">
        <v>176771</v>
      </c>
      <c r="V167" s="48">
        <f t="shared" si="32"/>
        <v>883.85500000000002</v>
      </c>
      <c r="W167" s="171">
        <f t="shared" si="33"/>
        <v>481.49626084599811</v>
      </c>
      <c r="X167" s="69">
        <v>55000</v>
      </c>
      <c r="Y167" s="48">
        <f t="shared" si="34"/>
        <v>275</v>
      </c>
      <c r="Z167" s="137">
        <f t="shared" si="35"/>
        <v>149.81130585067626</v>
      </c>
      <c r="AA167" s="69">
        <v>0</v>
      </c>
      <c r="AB167" s="48">
        <f t="shared" si="36"/>
        <v>0</v>
      </c>
      <c r="AC167" s="137">
        <f t="shared" si="37"/>
        <v>0</v>
      </c>
      <c r="AD167" s="70">
        <f t="shared" si="38"/>
        <v>231771</v>
      </c>
      <c r="AE167" s="71">
        <f t="shared" si="39"/>
        <v>1158.855</v>
      </c>
      <c r="AF167" s="193">
        <f t="shared" si="40"/>
        <v>631.30756669667437</v>
      </c>
      <c r="AG167" s="185">
        <f t="shared" si="41"/>
        <v>6.2463549386875079E-3</v>
      </c>
      <c r="AH167" s="180">
        <f t="shared" si="45"/>
        <v>8.2539529914529911E-3</v>
      </c>
      <c r="AI167" s="189">
        <v>200</v>
      </c>
      <c r="AJ167" s="125">
        <v>367.12849999999997</v>
      </c>
      <c r="AK167" s="149">
        <v>104</v>
      </c>
      <c r="AL167" s="221">
        <v>55</v>
      </c>
      <c r="AM167" s="216">
        <v>83.82352941176471</v>
      </c>
      <c r="AN167" s="213">
        <v>0</v>
      </c>
      <c r="AO167" s="127">
        <v>7.4210000000000003</v>
      </c>
      <c r="AP167" s="133">
        <v>5.6159999999999997</v>
      </c>
      <c r="AQ167" s="224">
        <f t="shared" si="42"/>
        <v>0.95238095238095233</v>
      </c>
      <c r="AR167" s="158">
        <v>210</v>
      </c>
      <c r="AS167" s="229">
        <f t="shared" si="43"/>
        <v>0.46728971962616822</v>
      </c>
      <c r="AT167" s="230">
        <v>428</v>
      </c>
      <c r="AU167" s="203">
        <v>16</v>
      </c>
      <c r="AV167" s="204">
        <v>67</v>
      </c>
      <c r="AW167" s="205">
        <v>17</v>
      </c>
      <c r="AX167" s="123">
        <v>3.7879</v>
      </c>
      <c r="AY167" s="281">
        <v>20.8955223880597</v>
      </c>
      <c r="AZ167" s="282">
        <v>34.328358208955223</v>
      </c>
      <c r="BA167" s="283">
        <f t="shared" si="44"/>
        <v>44.776119402985074</v>
      </c>
      <c r="BB167" s="234">
        <v>84.615384615384613</v>
      </c>
      <c r="BC167" s="120" t="s">
        <v>1811</v>
      </c>
      <c r="BD167" s="264" t="s">
        <v>557</v>
      </c>
      <c r="BE167" s="261" t="s">
        <v>556</v>
      </c>
      <c r="BF167" s="260" t="s">
        <v>557</v>
      </c>
      <c r="BG167" s="256">
        <v>31.491712707182316</v>
      </c>
      <c r="BH167" s="248" t="s">
        <v>556</v>
      </c>
      <c r="BI167" s="249">
        <v>12.903225806451612</v>
      </c>
      <c r="BJ167" s="309" t="s">
        <v>557</v>
      </c>
      <c r="BK167" s="307" t="s">
        <v>557</v>
      </c>
      <c r="BL167" s="319" t="s">
        <v>1728</v>
      </c>
      <c r="BM167" s="320" t="s">
        <v>557</v>
      </c>
      <c r="BN167" s="321" t="s">
        <v>1996</v>
      </c>
      <c r="BO167" s="145" t="s">
        <v>557</v>
      </c>
      <c r="BP167" s="14" t="s">
        <v>556</v>
      </c>
      <c r="BQ167" s="14" t="s">
        <v>557</v>
      </c>
    </row>
    <row r="168" spans="1:70" s="56" customFormat="1" ht="13.95" customHeight="1" x14ac:dyDescent="0.3">
      <c r="A168" s="56" t="s">
        <v>459</v>
      </c>
      <c r="B168" s="57" t="s">
        <v>462</v>
      </c>
      <c r="C168" s="55" t="s">
        <v>44</v>
      </c>
      <c r="D168" s="58">
        <v>4</v>
      </c>
      <c r="E168" s="59" t="s">
        <v>474</v>
      </c>
      <c r="F168" s="60" t="s">
        <v>452</v>
      </c>
      <c r="G168" s="61" t="s">
        <v>7</v>
      </c>
      <c r="H168" s="61" t="s">
        <v>7</v>
      </c>
      <c r="I168" s="62" t="s">
        <v>7</v>
      </c>
      <c r="J168" s="63" t="s">
        <v>1997</v>
      </c>
      <c r="K168" s="99" t="s">
        <v>851</v>
      </c>
      <c r="L168" s="130">
        <v>495493830</v>
      </c>
      <c r="M168" s="109" t="s">
        <v>564</v>
      </c>
      <c r="N168" s="12" t="s">
        <v>852</v>
      </c>
      <c r="O168" s="100"/>
      <c r="P168" s="131">
        <v>602458911</v>
      </c>
      <c r="Q168" s="67"/>
      <c r="R168" s="68"/>
      <c r="S168" s="99"/>
      <c r="T168" s="65"/>
      <c r="U168" s="170">
        <f>300000+1000000</f>
        <v>1300000</v>
      </c>
      <c r="V168" s="48">
        <f t="shared" si="32"/>
        <v>3333.3333333333335</v>
      </c>
      <c r="W168" s="171">
        <f t="shared" si="33"/>
        <v>1341.2789321603814</v>
      </c>
      <c r="X168" s="69">
        <v>95000</v>
      </c>
      <c r="Y168" s="48">
        <f t="shared" si="34"/>
        <v>243.58974358974359</v>
      </c>
      <c r="Z168" s="137">
        <f t="shared" si="35"/>
        <v>98.016537350181721</v>
      </c>
      <c r="AA168" s="69">
        <v>0</v>
      </c>
      <c r="AB168" s="48">
        <f t="shared" si="36"/>
        <v>0</v>
      </c>
      <c r="AC168" s="137">
        <f t="shared" si="37"/>
        <v>0</v>
      </c>
      <c r="AD168" s="70">
        <f t="shared" si="38"/>
        <v>1395000</v>
      </c>
      <c r="AE168" s="71">
        <f t="shared" si="39"/>
        <v>3576.9230769230771</v>
      </c>
      <c r="AF168" s="193">
        <f t="shared" si="40"/>
        <v>1439.2954695105632</v>
      </c>
      <c r="AG168" s="185">
        <f t="shared" si="41"/>
        <v>5.0681198910081743E-2</v>
      </c>
      <c r="AH168" s="180">
        <f t="shared" si="45"/>
        <v>0.18319107025607353</v>
      </c>
      <c r="AI168" s="189">
        <v>390</v>
      </c>
      <c r="AJ168" s="125">
        <v>969.2242</v>
      </c>
      <c r="AK168" s="149">
        <v>166</v>
      </c>
      <c r="AL168" s="221">
        <v>94</v>
      </c>
      <c r="AM168" s="216">
        <v>74.81481481481481</v>
      </c>
      <c r="AN168" s="213">
        <v>0</v>
      </c>
      <c r="AO168" s="127">
        <v>5.5049999999999999</v>
      </c>
      <c r="AP168" s="133">
        <v>1.5229999999999999</v>
      </c>
      <c r="AQ168" s="224">
        <f t="shared" si="42"/>
        <v>0.972568578553616</v>
      </c>
      <c r="AR168" s="158">
        <v>401</v>
      </c>
      <c r="AS168" s="229">
        <f t="shared" si="43"/>
        <v>0.55714285714285716</v>
      </c>
      <c r="AT168" s="230">
        <v>700</v>
      </c>
      <c r="AU168" s="203">
        <v>13.589743589743589</v>
      </c>
      <c r="AV168" s="204">
        <v>74.615384615384613</v>
      </c>
      <c r="AW168" s="205">
        <v>11.794871794871794</v>
      </c>
      <c r="AX168" s="123">
        <v>6.8493000000000004</v>
      </c>
      <c r="AY168" s="281">
        <v>12.068965517241379</v>
      </c>
      <c r="AZ168" s="282">
        <v>28.735632183908045</v>
      </c>
      <c r="BA168" s="283">
        <f t="shared" si="44"/>
        <v>59.195402298850574</v>
      </c>
      <c r="BB168" s="234">
        <v>66.666666666666671</v>
      </c>
      <c r="BC168" s="20">
        <v>2006</v>
      </c>
      <c r="BD168" s="263" t="s">
        <v>556</v>
      </c>
      <c r="BE168" s="261" t="s">
        <v>556</v>
      </c>
      <c r="BF168" s="260" t="s">
        <v>557</v>
      </c>
      <c r="BG168" s="256">
        <v>41.666666666666671</v>
      </c>
      <c r="BH168" s="248" t="s">
        <v>556</v>
      </c>
      <c r="BI168" s="249">
        <v>43.80664652567976</v>
      </c>
      <c r="BJ168" s="309" t="s">
        <v>557</v>
      </c>
      <c r="BK168" s="307" t="s">
        <v>557</v>
      </c>
      <c r="BL168" s="319" t="s">
        <v>1728</v>
      </c>
      <c r="BM168" s="320" t="s">
        <v>556</v>
      </c>
      <c r="BN168" s="321" t="s">
        <v>557</v>
      </c>
      <c r="BO168" s="145" t="s">
        <v>557</v>
      </c>
      <c r="BP168" s="14">
        <v>2</v>
      </c>
      <c r="BQ168" s="14" t="s">
        <v>557</v>
      </c>
    </row>
    <row r="169" spans="1:70" s="56" customFormat="1" ht="13.95" customHeight="1" x14ac:dyDescent="0.3">
      <c r="A169" s="56" t="s">
        <v>459</v>
      </c>
      <c r="B169" s="57" t="s">
        <v>462</v>
      </c>
      <c r="C169" s="55" t="s">
        <v>332</v>
      </c>
      <c r="D169" s="58">
        <v>1</v>
      </c>
      <c r="E169" s="59"/>
      <c r="F169" s="60" t="s">
        <v>455</v>
      </c>
      <c r="G169" s="61" t="s">
        <v>304</v>
      </c>
      <c r="H169" s="61" t="s">
        <v>38</v>
      </c>
      <c r="I169" s="62" t="s">
        <v>38</v>
      </c>
      <c r="J169" s="63" t="s">
        <v>1998</v>
      </c>
      <c r="K169" s="99" t="s">
        <v>1448</v>
      </c>
      <c r="L169" s="130">
        <v>494661148</v>
      </c>
      <c r="M169" s="109" t="s">
        <v>564</v>
      </c>
      <c r="N169" s="12" t="s">
        <v>1447</v>
      </c>
      <c r="O169" s="100"/>
      <c r="P169" s="131">
        <v>774940013</v>
      </c>
      <c r="Q169" s="67"/>
      <c r="R169" s="68"/>
      <c r="S169" s="99"/>
      <c r="T169" s="112"/>
      <c r="U169" s="170">
        <v>249200</v>
      </c>
      <c r="V169" s="48">
        <f t="shared" si="32"/>
        <v>1117.4887892376682</v>
      </c>
      <c r="W169" s="171">
        <f t="shared" si="33"/>
        <v>474.62191660024439</v>
      </c>
      <c r="X169" s="69">
        <v>0</v>
      </c>
      <c r="Y169" s="48">
        <f t="shared" si="34"/>
        <v>0</v>
      </c>
      <c r="Z169" s="137">
        <f t="shared" si="35"/>
        <v>0</v>
      </c>
      <c r="AA169" s="69">
        <v>0</v>
      </c>
      <c r="AB169" s="48">
        <f t="shared" si="36"/>
        <v>0</v>
      </c>
      <c r="AC169" s="137">
        <f t="shared" si="37"/>
        <v>0</v>
      </c>
      <c r="AD169" s="70">
        <f t="shared" si="38"/>
        <v>249200</v>
      </c>
      <c r="AE169" s="71">
        <f t="shared" si="39"/>
        <v>1117.4887892376682</v>
      </c>
      <c r="AF169" s="193">
        <f t="shared" si="40"/>
        <v>474.62191660024439</v>
      </c>
      <c r="AG169" s="185">
        <f t="shared" si="41"/>
        <v>1.8323529411764704E-2</v>
      </c>
      <c r="AH169" s="180">
        <f t="shared" si="45"/>
        <v>7.6091603053435111E-2</v>
      </c>
      <c r="AI169" s="189">
        <v>223</v>
      </c>
      <c r="AJ169" s="125">
        <v>525.04949999999997</v>
      </c>
      <c r="AK169" s="149">
        <v>113</v>
      </c>
      <c r="AL169" s="221">
        <v>67</v>
      </c>
      <c r="AM169" s="216">
        <v>93.589743589743591</v>
      </c>
      <c r="AN169" s="213">
        <v>11.111111111111112</v>
      </c>
      <c r="AO169" s="127">
        <v>2.72</v>
      </c>
      <c r="AP169" s="133">
        <v>0.65500000000000003</v>
      </c>
      <c r="AQ169" s="224">
        <f t="shared" si="42"/>
        <v>1.1377551020408163</v>
      </c>
      <c r="AR169" s="158">
        <v>196</v>
      </c>
      <c r="AS169" s="229">
        <f t="shared" si="43"/>
        <v>0.45696721311475408</v>
      </c>
      <c r="AT169" s="230">
        <v>488</v>
      </c>
      <c r="AU169" s="203">
        <v>16.591928251121075</v>
      </c>
      <c r="AV169" s="204">
        <v>66.367713004484301</v>
      </c>
      <c r="AW169" s="205">
        <v>17.040358744394617</v>
      </c>
      <c r="AX169" s="123">
        <v>4.1379000000000001</v>
      </c>
      <c r="AY169" s="281">
        <v>7.5268817204301079</v>
      </c>
      <c r="AZ169" s="282">
        <v>31.182795698924732</v>
      </c>
      <c r="BA169" s="283">
        <f t="shared" si="44"/>
        <v>61.290322580645153</v>
      </c>
      <c r="BB169" s="234">
        <v>96</v>
      </c>
      <c r="BC169" s="20">
        <v>2005</v>
      </c>
      <c r="BD169" s="263" t="s">
        <v>556</v>
      </c>
      <c r="BE169" s="261" t="s">
        <v>556</v>
      </c>
      <c r="BF169" s="260" t="s">
        <v>557</v>
      </c>
      <c r="BG169" s="256">
        <v>21.645021645021643</v>
      </c>
      <c r="BH169" s="248" t="s">
        <v>556</v>
      </c>
      <c r="BI169" s="249">
        <v>54.910714285714292</v>
      </c>
      <c r="BJ169" s="309" t="s">
        <v>557</v>
      </c>
      <c r="BK169" s="307" t="s">
        <v>557</v>
      </c>
      <c r="BL169" s="319" t="s">
        <v>1728</v>
      </c>
      <c r="BM169" s="320" t="s">
        <v>556</v>
      </c>
      <c r="BN169" s="321" t="s">
        <v>1791</v>
      </c>
      <c r="BO169" s="145" t="s">
        <v>557</v>
      </c>
      <c r="BP169" s="14" t="s">
        <v>556</v>
      </c>
      <c r="BQ169" s="14" t="s">
        <v>557</v>
      </c>
    </row>
    <row r="170" spans="1:70" s="56" customFormat="1" ht="13.95" customHeight="1" x14ac:dyDescent="0.3">
      <c r="A170" s="56" t="s">
        <v>459</v>
      </c>
      <c r="B170" s="57" t="s">
        <v>462</v>
      </c>
      <c r="C170" s="55" t="s">
        <v>417</v>
      </c>
      <c r="D170" s="58">
        <v>1</v>
      </c>
      <c r="E170" s="59"/>
      <c r="F170" s="60" t="s">
        <v>456</v>
      </c>
      <c r="G170" s="61" t="s">
        <v>378</v>
      </c>
      <c r="H170" s="61" t="s">
        <v>382</v>
      </c>
      <c r="I170" s="62" t="s">
        <v>382</v>
      </c>
      <c r="J170" s="117" t="s">
        <v>1999</v>
      </c>
      <c r="K170" s="99" t="s">
        <v>1672</v>
      </c>
      <c r="L170" s="130">
        <v>499876190</v>
      </c>
      <c r="M170" s="109" t="s">
        <v>564</v>
      </c>
      <c r="N170" s="12" t="s">
        <v>1599</v>
      </c>
      <c r="O170" s="100"/>
      <c r="P170" s="131">
        <v>724180073</v>
      </c>
      <c r="Q170" s="84"/>
      <c r="S170" s="105"/>
      <c r="T170" s="112"/>
      <c r="U170" s="170">
        <v>0</v>
      </c>
      <c r="V170" s="48">
        <f t="shared" si="32"/>
        <v>0</v>
      </c>
      <c r="W170" s="171">
        <f t="shared" si="33"/>
        <v>0</v>
      </c>
      <c r="X170" s="69">
        <v>0</v>
      </c>
      <c r="Y170" s="48">
        <f t="shared" si="34"/>
        <v>0</v>
      </c>
      <c r="Z170" s="137">
        <f t="shared" si="35"/>
        <v>0</v>
      </c>
      <c r="AA170" s="69">
        <v>0</v>
      </c>
      <c r="AB170" s="48">
        <f t="shared" si="36"/>
        <v>0</v>
      </c>
      <c r="AC170" s="137">
        <f t="shared" si="37"/>
        <v>0</v>
      </c>
      <c r="AD170" s="70">
        <f t="shared" si="38"/>
        <v>0</v>
      </c>
      <c r="AE170" s="71">
        <f t="shared" si="39"/>
        <v>0</v>
      </c>
      <c r="AF170" s="193">
        <f t="shared" si="40"/>
        <v>0</v>
      </c>
      <c r="AG170" s="185">
        <f t="shared" si="41"/>
        <v>0</v>
      </c>
      <c r="AH170" s="180">
        <f t="shared" ref="AH170:AH185" si="46">IF(AD170=0,0,1/(AP170*5000000/AD170))</f>
        <v>0</v>
      </c>
      <c r="AI170" s="189">
        <v>193</v>
      </c>
      <c r="AJ170" s="125">
        <v>994.79449999999997</v>
      </c>
      <c r="AK170" s="149">
        <v>110</v>
      </c>
      <c r="AL170" s="221">
        <v>50</v>
      </c>
      <c r="AM170" s="216">
        <v>76.19047619047619</v>
      </c>
      <c r="AN170" s="213">
        <v>14.432989690721651</v>
      </c>
      <c r="AO170" s="127">
        <v>1.819</v>
      </c>
      <c r="AP170" s="133">
        <v>7.6999999999999999E-2</v>
      </c>
      <c r="AQ170" s="224">
        <f t="shared" si="42"/>
        <v>1.1352941176470588</v>
      </c>
      <c r="AR170" s="158">
        <v>170</v>
      </c>
      <c r="AS170" s="229">
        <f t="shared" si="43"/>
        <v>0.25461741424802109</v>
      </c>
      <c r="AT170" s="230">
        <v>758</v>
      </c>
      <c r="AU170" s="203">
        <v>12.953367875647666</v>
      </c>
      <c r="AV170" s="204">
        <v>69.948186528497402</v>
      </c>
      <c r="AW170" s="205">
        <v>17.098445595854923</v>
      </c>
      <c r="AX170" s="123">
        <v>5.9259000000000004</v>
      </c>
      <c r="AY170" s="281">
        <v>3.7735849056603774</v>
      </c>
      <c r="AZ170" s="282">
        <v>43.39622641509434</v>
      </c>
      <c r="BA170" s="283">
        <f t="shared" si="44"/>
        <v>52.830188679245289</v>
      </c>
      <c r="BB170" s="234">
        <v>90.909090909090907</v>
      </c>
      <c r="BC170" s="20">
        <v>2010</v>
      </c>
      <c r="BD170" s="263" t="s">
        <v>556</v>
      </c>
      <c r="BE170" s="262" t="s">
        <v>557</v>
      </c>
      <c r="BF170" s="260" t="s">
        <v>557</v>
      </c>
      <c r="BG170" s="256">
        <v>0</v>
      </c>
      <c r="BH170" s="254" t="s">
        <v>557</v>
      </c>
      <c r="BI170" s="249">
        <v>0</v>
      </c>
      <c r="BJ170" s="309" t="s">
        <v>557</v>
      </c>
      <c r="BK170" s="307" t="s">
        <v>557</v>
      </c>
      <c r="BL170" s="319" t="s">
        <v>557</v>
      </c>
      <c r="BM170" s="320" t="s">
        <v>557</v>
      </c>
      <c r="BN170" s="321" t="s">
        <v>557</v>
      </c>
      <c r="BO170" s="145" t="s">
        <v>556</v>
      </c>
      <c r="BP170" s="14" t="s">
        <v>556</v>
      </c>
      <c r="BQ170" s="14" t="s">
        <v>556</v>
      </c>
      <c r="BR170" s="72"/>
    </row>
    <row r="171" spans="1:70" s="56" customFormat="1" ht="13.95" customHeight="1" x14ac:dyDescent="0.3">
      <c r="A171" s="56" t="s">
        <v>459</v>
      </c>
      <c r="B171" s="57" t="s">
        <v>462</v>
      </c>
      <c r="C171" s="55" t="s">
        <v>256</v>
      </c>
      <c r="D171" s="58">
        <v>3</v>
      </c>
      <c r="E171" s="59" t="s">
        <v>651</v>
      </c>
      <c r="F171" s="60" t="s">
        <v>454</v>
      </c>
      <c r="G171" s="61" t="s">
        <v>226</v>
      </c>
      <c r="H171" s="61" t="s">
        <v>226</v>
      </c>
      <c r="I171" s="62" t="s">
        <v>226</v>
      </c>
      <c r="J171" s="63" t="s">
        <v>1995</v>
      </c>
      <c r="K171" s="99" t="s">
        <v>1304</v>
      </c>
      <c r="L171" s="130">
        <v>491428934</v>
      </c>
      <c r="M171" s="109" t="s">
        <v>537</v>
      </c>
      <c r="N171" s="12" t="s">
        <v>1303</v>
      </c>
      <c r="O171" s="100"/>
      <c r="P171" s="131"/>
      <c r="Q171" s="67"/>
      <c r="R171" s="68"/>
      <c r="S171" s="99"/>
      <c r="T171" s="65"/>
      <c r="U171" s="170">
        <f>261000+400000</f>
        <v>661000</v>
      </c>
      <c r="V171" s="48">
        <f t="shared" si="32"/>
        <v>598.19004524886873</v>
      </c>
      <c r="W171" s="171">
        <f t="shared" si="33"/>
        <v>946.06810659854591</v>
      </c>
      <c r="X171" s="69">
        <v>6010</v>
      </c>
      <c r="Y171" s="48">
        <f t="shared" si="34"/>
        <v>5.4389140271493215</v>
      </c>
      <c r="Z171" s="137">
        <f t="shared" si="35"/>
        <v>8.6019203035662049</v>
      </c>
      <c r="AA171" s="69">
        <v>0</v>
      </c>
      <c r="AB171" s="48">
        <f t="shared" si="36"/>
        <v>0</v>
      </c>
      <c r="AC171" s="137">
        <f t="shared" si="37"/>
        <v>0</v>
      </c>
      <c r="AD171" s="70">
        <f t="shared" si="38"/>
        <v>667010</v>
      </c>
      <c r="AE171" s="71">
        <f t="shared" si="39"/>
        <v>603.62895927601812</v>
      </c>
      <c r="AF171" s="193">
        <f t="shared" si="40"/>
        <v>954.67002690211211</v>
      </c>
      <c r="AG171" s="185">
        <f t="shared" si="41"/>
        <v>1.4506524575902567E-2</v>
      </c>
      <c r="AH171" s="180">
        <f t="shared" si="46"/>
        <v>4.6449164345403901E-2</v>
      </c>
      <c r="AI171" s="189">
        <v>1105</v>
      </c>
      <c r="AJ171" s="125">
        <v>698.68119999999999</v>
      </c>
      <c r="AK171" s="149">
        <v>490</v>
      </c>
      <c r="AL171" s="221">
        <v>314</v>
      </c>
      <c r="AM171" s="216">
        <v>96.296296296296291</v>
      </c>
      <c r="AN171" s="213">
        <v>2.8301886792452828</v>
      </c>
      <c r="AO171" s="127">
        <v>9.1959999999999997</v>
      </c>
      <c r="AP171" s="133">
        <v>2.8719999999999999</v>
      </c>
      <c r="AQ171" s="224">
        <f t="shared" si="42"/>
        <v>1.4148527528809218</v>
      </c>
      <c r="AR171" s="158">
        <v>781</v>
      </c>
      <c r="AS171" s="229">
        <f t="shared" si="43"/>
        <v>1.3030660377358489</v>
      </c>
      <c r="AT171" s="230">
        <v>848</v>
      </c>
      <c r="AU171" s="203">
        <v>15.837104072398189</v>
      </c>
      <c r="AV171" s="204">
        <v>68.144796380090497</v>
      </c>
      <c r="AW171" s="205">
        <v>16.018099547511312</v>
      </c>
      <c r="AX171" s="123">
        <v>2.8111999999999999</v>
      </c>
      <c r="AY171" s="281">
        <v>2.083333333333333</v>
      </c>
      <c r="AZ171" s="282">
        <v>39.166666666666664</v>
      </c>
      <c r="BA171" s="283">
        <f t="shared" si="44"/>
        <v>58.750000000000007</v>
      </c>
      <c r="BB171" s="234">
        <v>92.775665399239543</v>
      </c>
      <c r="BC171" s="20">
        <v>2016</v>
      </c>
      <c r="BD171" s="263" t="s">
        <v>556</v>
      </c>
      <c r="BE171" s="261" t="s">
        <v>556</v>
      </c>
      <c r="BF171" s="259" t="s">
        <v>556</v>
      </c>
      <c r="BG171" s="256">
        <v>60.860860860860868</v>
      </c>
      <c r="BH171" s="248" t="s">
        <v>556</v>
      </c>
      <c r="BI171" s="249">
        <v>38.044633368756642</v>
      </c>
      <c r="BJ171" s="308" t="s">
        <v>556</v>
      </c>
      <c r="BK171" s="307" t="s">
        <v>557</v>
      </c>
      <c r="BL171" s="319" t="s">
        <v>1728</v>
      </c>
      <c r="BM171" s="320" t="s">
        <v>556</v>
      </c>
      <c r="BN171" s="321" t="s">
        <v>1996</v>
      </c>
      <c r="BO171" s="145" t="s">
        <v>557</v>
      </c>
      <c r="BP171" s="14" t="s">
        <v>557</v>
      </c>
      <c r="BQ171" s="14" t="s">
        <v>557</v>
      </c>
      <c r="BR171" s="72"/>
    </row>
    <row r="172" spans="1:70" s="56" customFormat="1" ht="13.95" customHeight="1" x14ac:dyDescent="0.3">
      <c r="A172" s="56" t="s">
        <v>459</v>
      </c>
      <c r="B172" s="57" t="s">
        <v>462</v>
      </c>
      <c r="C172" s="55" t="s">
        <v>45</v>
      </c>
      <c r="D172" s="58">
        <v>2</v>
      </c>
      <c r="E172" s="59" t="s">
        <v>475</v>
      </c>
      <c r="F172" s="60" t="s">
        <v>452</v>
      </c>
      <c r="G172" s="61" t="s">
        <v>11</v>
      </c>
      <c r="H172" s="61" t="s">
        <v>11</v>
      </c>
      <c r="I172" s="62" t="s">
        <v>11</v>
      </c>
      <c r="J172" s="63" t="s">
        <v>2000</v>
      </c>
      <c r="K172" s="99" t="s">
        <v>2001</v>
      </c>
      <c r="L172" s="130">
        <v>495451617</v>
      </c>
      <c r="M172" s="109" t="s">
        <v>564</v>
      </c>
      <c r="N172" s="12" t="s">
        <v>854</v>
      </c>
      <c r="O172" s="100" t="s">
        <v>853</v>
      </c>
      <c r="P172" s="131">
        <v>605582472</v>
      </c>
      <c r="Q172" s="67"/>
      <c r="R172" s="68"/>
      <c r="S172" s="99"/>
      <c r="T172" s="65"/>
      <c r="U172" s="170">
        <f>740000+600000</f>
        <v>1340000</v>
      </c>
      <c r="V172" s="48">
        <f t="shared" si="32"/>
        <v>2346.7600700525395</v>
      </c>
      <c r="W172" s="171">
        <f t="shared" si="33"/>
        <v>1181.5687617908879</v>
      </c>
      <c r="X172" s="69">
        <v>0</v>
      </c>
      <c r="Y172" s="48">
        <f t="shared" si="34"/>
        <v>0</v>
      </c>
      <c r="Z172" s="137">
        <f t="shared" si="35"/>
        <v>0</v>
      </c>
      <c r="AA172" s="69">
        <v>0</v>
      </c>
      <c r="AB172" s="48">
        <f t="shared" si="36"/>
        <v>0</v>
      </c>
      <c r="AC172" s="137">
        <f t="shared" si="37"/>
        <v>0</v>
      </c>
      <c r="AD172" s="70">
        <f t="shared" si="38"/>
        <v>1340000</v>
      </c>
      <c r="AE172" s="71">
        <f t="shared" si="39"/>
        <v>2346.7600700525395</v>
      </c>
      <c r="AF172" s="193">
        <f t="shared" si="40"/>
        <v>1181.5687617908879</v>
      </c>
      <c r="AG172" s="185">
        <f t="shared" si="41"/>
        <v>2.4414685250979323E-2</v>
      </c>
      <c r="AH172" s="180">
        <f t="shared" si="46"/>
        <v>5.4593603585251581E-2</v>
      </c>
      <c r="AI172" s="189">
        <v>571</v>
      </c>
      <c r="AJ172" s="125">
        <v>1134.0854999999999</v>
      </c>
      <c r="AK172" s="149">
        <v>178</v>
      </c>
      <c r="AL172" s="221">
        <v>152</v>
      </c>
      <c r="AM172" s="216">
        <v>88</v>
      </c>
      <c r="AN172" s="213">
        <v>10.344827586206897</v>
      </c>
      <c r="AO172" s="127">
        <v>10.977</v>
      </c>
      <c r="AP172" s="133">
        <v>4.9089999999999998</v>
      </c>
      <c r="AQ172" s="224">
        <f t="shared" si="42"/>
        <v>1.0362976406533575</v>
      </c>
      <c r="AR172" s="158">
        <v>551</v>
      </c>
      <c r="AS172" s="229">
        <f t="shared" si="43"/>
        <v>0.69549330085261873</v>
      </c>
      <c r="AT172" s="230">
        <v>821</v>
      </c>
      <c r="AU172" s="203">
        <v>17.513134851138354</v>
      </c>
      <c r="AV172" s="204">
        <v>64.798598949211907</v>
      </c>
      <c r="AW172" s="205">
        <v>17.688266199649739</v>
      </c>
      <c r="AX172" s="123">
        <v>7.2580999999999998</v>
      </c>
      <c r="AY172" s="281">
        <v>12.204724409448819</v>
      </c>
      <c r="AZ172" s="282">
        <v>25.590551181102363</v>
      </c>
      <c r="BA172" s="283">
        <f t="shared" si="44"/>
        <v>62.204724409448822</v>
      </c>
      <c r="BB172" s="234">
        <v>78.181818181818187</v>
      </c>
      <c r="BC172" s="20">
        <v>2006</v>
      </c>
      <c r="BD172" s="263" t="s">
        <v>556</v>
      </c>
      <c r="BE172" s="262" t="s">
        <v>557</v>
      </c>
      <c r="BF172" s="260" t="s">
        <v>557</v>
      </c>
      <c r="BG172" s="256">
        <v>0</v>
      </c>
      <c r="BH172" s="248" t="s">
        <v>556</v>
      </c>
      <c r="BI172" s="249">
        <v>69.055944055944053</v>
      </c>
      <c r="BJ172" s="308" t="s">
        <v>556</v>
      </c>
      <c r="BK172" s="307" t="s">
        <v>750</v>
      </c>
      <c r="BL172" s="319" t="s">
        <v>1728</v>
      </c>
      <c r="BM172" s="320" t="s">
        <v>556</v>
      </c>
      <c r="BN172" s="321" t="s">
        <v>1996</v>
      </c>
      <c r="BO172" s="145" t="s">
        <v>556</v>
      </c>
      <c r="BP172" s="14" t="s">
        <v>556</v>
      </c>
      <c r="BQ172" s="14" t="s">
        <v>556</v>
      </c>
      <c r="BR172" s="72"/>
    </row>
    <row r="173" spans="1:70" s="56" customFormat="1" ht="13.95" customHeight="1" x14ac:dyDescent="0.3">
      <c r="A173" s="3" t="s">
        <v>459</v>
      </c>
      <c r="B173" s="57" t="s">
        <v>462</v>
      </c>
      <c r="C173" s="55" t="s">
        <v>333</v>
      </c>
      <c r="D173" s="58">
        <v>1</v>
      </c>
      <c r="E173" s="341"/>
      <c r="F173" s="60" t="s">
        <v>455</v>
      </c>
      <c r="G173" s="61" t="s">
        <v>529</v>
      </c>
      <c r="H173" s="61" t="s">
        <v>529</v>
      </c>
      <c r="I173" s="62" t="s">
        <v>529</v>
      </c>
      <c r="J173" s="117" t="s">
        <v>2002</v>
      </c>
      <c r="K173" s="100"/>
      <c r="L173" s="131">
        <v>494547388</v>
      </c>
      <c r="M173" s="109" t="s">
        <v>564</v>
      </c>
      <c r="N173" s="12" t="s">
        <v>1449</v>
      </c>
      <c r="O173" s="100" t="s">
        <v>1450</v>
      </c>
      <c r="P173" s="131">
        <v>603290699</v>
      </c>
      <c r="Q173" s="67"/>
      <c r="R173" s="12"/>
      <c r="S173" s="100"/>
      <c r="T173" s="241"/>
      <c r="U173" s="170">
        <f>193000+35180+29500</f>
        <v>257680</v>
      </c>
      <c r="V173" s="48">
        <f t="shared" si="32"/>
        <v>2996.2790697674418</v>
      </c>
      <c r="W173" s="171">
        <f t="shared" si="33"/>
        <v>1522.5786933523675</v>
      </c>
      <c r="X173" s="69">
        <v>26136</v>
      </c>
      <c r="Y173" s="48">
        <f t="shared" si="34"/>
        <v>303.90697674418607</v>
      </c>
      <c r="Z173" s="137">
        <f t="shared" si="35"/>
        <v>154.432306463278</v>
      </c>
      <c r="AA173" s="69">
        <v>0</v>
      </c>
      <c r="AB173" s="48">
        <f t="shared" si="36"/>
        <v>0</v>
      </c>
      <c r="AC173" s="137">
        <f t="shared" si="37"/>
        <v>0</v>
      </c>
      <c r="AD173" s="70">
        <f t="shared" si="38"/>
        <v>283816</v>
      </c>
      <c r="AE173" s="71">
        <f t="shared" si="39"/>
        <v>3300.1860465116279</v>
      </c>
      <c r="AF173" s="193">
        <f t="shared" si="40"/>
        <v>1677.0109998156454</v>
      </c>
      <c r="AG173" s="185">
        <f t="shared" si="41"/>
        <v>5.4579999999999997E-2</v>
      </c>
      <c r="AH173" s="180">
        <f t="shared" si="46"/>
        <v>8.8278693623639201E-2</v>
      </c>
      <c r="AI173" s="189">
        <v>86</v>
      </c>
      <c r="AJ173" s="125">
        <v>169.23920000000001</v>
      </c>
      <c r="AK173" s="149">
        <v>39</v>
      </c>
      <c r="AL173" s="221">
        <v>24</v>
      </c>
      <c r="AM173" s="216">
        <v>100</v>
      </c>
      <c r="AN173" s="213">
        <v>15.789473684210529</v>
      </c>
      <c r="AO173" s="127">
        <v>1.04</v>
      </c>
      <c r="AP173" s="133">
        <v>0.64300000000000002</v>
      </c>
      <c r="AQ173" s="224">
        <f t="shared" si="42"/>
        <v>0.97727272727272729</v>
      </c>
      <c r="AR173" s="158">
        <v>88</v>
      </c>
      <c r="AS173" s="229">
        <f t="shared" si="43"/>
        <v>0.60139860139860135</v>
      </c>
      <c r="AT173" s="230">
        <v>143</v>
      </c>
      <c r="AU173" s="203">
        <v>18.604651162790699</v>
      </c>
      <c r="AV173" s="204">
        <v>67.441860465116278</v>
      </c>
      <c r="AW173" s="205">
        <v>13.953488372093023</v>
      </c>
      <c r="AX173" s="123">
        <v>4.9180000000000001</v>
      </c>
      <c r="AY173" s="281">
        <v>36.585365853658537</v>
      </c>
      <c r="AZ173" s="282">
        <v>36.585365853658537</v>
      </c>
      <c r="BA173" s="283">
        <f t="shared" si="44"/>
        <v>26.829268292682926</v>
      </c>
      <c r="BB173" s="234">
        <v>95.238095238095241</v>
      </c>
      <c r="BC173" s="19">
        <v>2014</v>
      </c>
      <c r="BD173" s="263" t="s">
        <v>556</v>
      </c>
      <c r="BE173" s="261" t="s">
        <v>556</v>
      </c>
      <c r="BF173" s="260" t="s">
        <v>557</v>
      </c>
      <c r="BG173" s="256">
        <v>30</v>
      </c>
      <c r="BH173" s="248" t="s">
        <v>556</v>
      </c>
      <c r="BI173" s="249">
        <v>35.2112676056338</v>
      </c>
      <c r="BJ173" s="309" t="s">
        <v>557</v>
      </c>
      <c r="BK173" s="307" t="s">
        <v>557</v>
      </c>
      <c r="BL173" s="319" t="s">
        <v>1728</v>
      </c>
      <c r="BM173" s="320" t="s">
        <v>557</v>
      </c>
      <c r="BN173" s="321" t="s">
        <v>557</v>
      </c>
      <c r="BO173" s="21" t="s">
        <v>557</v>
      </c>
      <c r="BP173" s="10" t="s">
        <v>557</v>
      </c>
      <c r="BQ173" s="10" t="s">
        <v>557</v>
      </c>
      <c r="BR173" s="80"/>
    </row>
    <row r="174" spans="1:70" s="56" customFormat="1" ht="13.95" customHeight="1" x14ac:dyDescent="0.3">
      <c r="A174" s="56" t="s">
        <v>459</v>
      </c>
      <c r="B174" s="57" t="s">
        <v>462</v>
      </c>
      <c r="C174" s="55" t="s">
        <v>257</v>
      </c>
      <c r="D174" s="58">
        <v>1</v>
      </c>
      <c r="E174" s="59"/>
      <c r="F174" s="60" t="s">
        <v>454</v>
      </c>
      <c r="G174" s="61" t="s">
        <v>223</v>
      </c>
      <c r="H174" s="61" t="s">
        <v>223</v>
      </c>
      <c r="I174" s="62" t="s">
        <v>223</v>
      </c>
      <c r="J174" s="63" t="s">
        <v>2003</v>
      </c>
      <c r="K174" s="99" t="s">
        <v>1305</v>
      </c>
      <c r="L174" s="130">
        <v>491521606</v>
      </c>
      <c r="M174" s="109" t="s">
        <v>537</v>
      </c>
      <c r="N174" s="12" t="s">
        <v>1306</v>
      </c>
      <c r="O174" s="100"/>
      <c r="P174" s="131">
        <v>731411849</v>
      </c>
      <c r="Q174" s="67"/>
      <c r="R174" s="68"/>
      <c r="S174" s="99"/>
      <c r="T174" s="65"/>
      <c r="U174" s="170">
        <f>225000+558200</f>
        <v>783200</v>
      </c>
      <c r="V174" s="48">
        <f t="shared" si="32"/>
        <v>1821.3953488372092</v>
      </c>
      <c r="W174" s="171">
        <f t="shared" si="33"/>
        <v>475.59387295182506</v>
      </c>
      <c r="X174" s="69">
        <v>377000</v>
      </c>
      <c r="Y174" s="48">
        <f t="shared" si="34"/>
        <v>876.74418604651157</v>
      </c>
      <c r="Z174" s="137">
        <f t="shared" si="35"/>
        <v>228.93116713845512</v>
      </c>
      <c r="AA174" s="69">
        <v>0</v>
      </c>
      <c r="AB174" s="48">
        <f t="shared" si="36"/>
        <v>0</v>
      </c>
      <c r="AC174" s="137">
        <f t="shared" si="37"/>
        <v>0</v>
      </c>
      <c r="AD174" s="70">
        <f t="shared" si="38"/>
        <v>1160200</v>
      </c>
      <c r="AE174" s="71">
        <f t="shared" si="39"/>
        <v>2698.1395348837209</v>
      </c>
      <c r="AF174" s="193">
        <f t="shared" si="40"/>
        <v>704.52504009028019</v>
      </c>
      <c r="AG174" s="185">
        <f t="shared" si="41"/>
        <v>3.1276452352069009E-2</v>
      </c>
      <c r="AH174" s="180">
        <f t="shared" si="46"/>
        <v>0.17780842911877395</v>
      </c>
      <c r="AI174" s="189">
        <v>430</v>
      </c>
      <c r="AJ174" s="125">
        <v>1646.7832000000001</v>
      </c>
      <c r="AK174" s="149">
        <v>182</v>
      </c>
      <c r="AL174" s="221">
        <v>117</v>
      </c>
      <c r="AM174" s="216">
        <v>81.87919463087249</v>
      </c>
      <c r="AN174" s="213">
        <v>14.358974358974359</v>
      </c>
      <c r="AO174" s="127">
        <v>7.4189999999999996</v>
      </c>
      <c r="AP174" s="133">
        <v>1.3049999999999999</v>
      </c>
      <c r="AQ174" s="224">
        <f t="shared" si="42"/>
        <v>1.12565445026178</v>
      </c>
      <c r="AR174" s="158">
        <v>382</v>
      </c>
      <c r="AS174" s="229">
        <f t="shared" si="43"/>
        <v>0.37985865724381623</v>
      </c>
      <c r="AT174" s="230">
        <v>1132</v>
      </c>
      <c r="AU174" s="203">
        <v>19.069767441860467</v>
      </c>
      <c r="AV174" s="204">
        <v>62.325581395348834</v>
      </c>
      <c r="AW174" s="205">
        <v>18.604651162790699</v>
      </c>
      <c r="AX174" s="123">
        <v>8.2353000000000005</v>
      </c>
      <c r="AY174" s="281">
        <v>7.7844311377245514</v>
      </c>
      <c r="AZ174" s="282">
        <v>46.107784431137731</v>
      </c>
      <c r="BA174" s="283">
        <f t="shared" si="44"/>
        <v>46.107784431137716</v>
      </c>
      <c r="BB174" s="234">
        <v>100</v>
      </c>
      <c r="BC174" s="20">
        <v>2001</v>
      </c>
      <c r="BD174" s="263" t="s">
        <v>556</v>
      </c>
      <c r="BE174" s="261" t="s">
        <v>556</v>
      </c>
      <c r="BF174" s="260" t="s">
        <v>557</v>
      </c>
      <c r="BG174" s="257" t="s">
        <v>1686</v>
      </c>
      <c r="BH174" s="254" t="s">
        <v>557</v>
      </c>
      <c r="BI174" s="249">
        <v>0</v>
      </c>
      <c r="BJ174" s="309" t="s">
        <v>557</v>
      </c>
      <c r="BK174" s="307" t="s">
        <v>557</v>
      </c>
      <c r="BL174" s="319" t="s">
        <v>1728</v>
      </c>
      <c r="BM174" s="320" t="s">
        <v>556</v>
      </c>
      <c r="BN174" s="321" t="s">
        <v>1838</v>
      </c>
      <c r="BO174" s="145" t="s">
        <v>557</v>
      </c>
      <c r="BP174" s="14" t="s">
        <v>557</v>
      </c>
      <c r="BQ174" s="14" t="s">
        <v>557</v>
      </c>
      <c r="BR174" s="72"/>
    </row>
    <row r="175" spans="1:70" s="56" customFormat="1" ht="13.95" customHeight="1" x14ac:dyDescent="0.3">
      <c r="A175" s="56" t="s">
        <v>459</v>
      </c>
      <c r="B175" s="57" t="s">
        <v>462</v>
      </c>
      <c r="C175" s="55" t="s">
        <v>418</v>
      </c>
      <c r="D175" s="58">
        <v>2</v>
      </c>
      <c r="E175" s="59" t="s">
        <v>729</v>
      </c>
      <c r="F175" s="60" t="s">
        <v>456</v>
      </c>
      <c r="G175" s="61" t="s">
        <v>531</v>
      </c>
      <c r="H175" s="61" t="s">
        <v>531</v>
      </c>
      <c r="I175" s="62" t="s">
        <v>531</v>
      </c>
      <c r="J175" s="63" t="s">
        <v>576</v>
      </c>
      <c r="K175" s="99" t="s">
        <v>575</v>
      </c>
      <c r="L175" s="130">
        <v>499692165</v>
      </c>
      <c r="M175" s="109" t="s">
        <v>564</v>
      </c>
      <c r="N175" s="12" t="s">
        <v>574</v>
      </c>
      <c r="O175" s="100" t="s">
        <v>575</v>
      </c>
      <c r="P175" s="131">
        <v>603344181</v>
      </c>
      <c r="Q175" s="85" t="s">
        <v>564</v>
      </c>
      <c r="R175" s="68" t="s">
        <v>574</v>
      </c>
      <c r="S175" s="99" t="s">
        <v>575</v>
      </c>
      <c r="T175" s="131">
        <v>603344181</v>
      </c>
      <c r="U175" s="170">
        <f>36208+35000</f>
        <v>71208</v>
      </c>
      <c r="V175" s="48">
        <f t="shared" si="32"/>
        <v>279.24705882352941</v>
      </c>
      <c r="W175" s="171">
        <f t="shared" si="33"/>
        <v>147.35452806633188</v>
      </c>
      <c r="X175" s="69">
        <v>199279</v>
      </c>
      <c r="Y175" s="48">
        <f t="shared" si="34"/>
        <v>781.48627450980393</v>
      </c>
      <c r="Z175" s="137">
        <f t="shared" si="35"/>
        <v>412.37870742796525</v>
      </c>
      <c r="AA175" s="69">
        <v>8000000</v>
      </c>
      <c r="AB175" s="48">
        <f t="shared" si="36"/>
        <v>31372.549019607843</v>
      </c>
      <c r="AC175" s="137">
        <f t="shared" si="37"/>
        <v>16554.828453694179</v>
      </c>
      <c r="AD175" s="70">
        <f t="shared" si="38"/>
        <v>8270487</v>
      </c>
      <c r="AE175" s="71">
        <f t="shared" si="39"/>
        <v>32433.282352941176</v>
      </c>
      <c r="AF175" s="193">
        <f t="shared" si="40"/>
        <v>17114.561689188475</v>
      </c>
      <c r="AG175" s="185">
        <f t="shared" si="41"/>
        <v>9.1935160071142719E-2</v>
      </c>
      <c r="AH175" s="180">
        <f t="shared" si="46"/>
        <v>0.14514719199719198</v>
      </c>
      <c r="AI175" s="189">
        <v>255</v>
      </c>
      <c r="AJ175" s="125">
        <v>483.24270000000001</v>
      </c>
      <c r="AK175" s="149">
        <v>127</v>
      </c>
      <c r="AL175" s="221">
        <v>66</v>
      </c>
      <c r="AM175" s="216">
        <v>63.44086021505376</v>
      </c>
      <c r="AN175" s="213">
        <v>25</v>
      </c>
      <c r="AO175" s="127">
        <v>17.992000000000001</v>
      </c>
      <c r="AP175" s="133">
        <v>11.396000000000001</v>
      </c>
      <c r="AQ175" s="224">
        <f t="shared" si="42"/>
        <v>1.0119047619047619</v>
      </c>
      <c r="AR175" s="158">
        <v>252</v>
      </c>
      <c r="AS175" s="229">
        <f t="shared" si="43"/>
        <v>0.42785234899328861</v>
      </c>
      <c r="AT175" s="230">
        <v>596</v>
      </c>
      <c r="AU175" s="203">
        <v>12.156862745098039</v>
      </c>
      <c r="AV175" s="204">
        <v>70.196078431372541</v>
      </c>
      <c r="AW175" s="205">
        <v>17.647058823529413</v>
      </c>
      <c r="AX175" s="123">
        <v>8.3798999999999992</v>
      </c>
      <c r="AY175" s="281">
        <v>3.8095238095238098</v>
      </c>
      <c r="AZ175" s="282">
        <v>29.523809523809526</v>
      </c>
      <c r="BA175" s="283">
        <f t="shared" si="44"/>
        <v>66.666666666666657</v>
      </c>
      <c r="BB175" s="234">
        <v>86.111111111111114</v>
      </c>
      <c r="BC175" s="20">
        <v>2010</v>
      </c>
      <c r="BD175" s="263" t="s">
        <v>556</v>
      </c>
      <c r="BE175" s="261" t="s">
        <v>556</v>
      </c>
      <c r="BF175" s="259" t="s">
        <v>556</v>
      </c>
      <c r="BG175" s="256">
        <v>72.727272727272734</v>
      </c>
      <c r="BH175" s="248" t="s">
        <v>556</v>
      </c>
      <c r="BI175" s="249">
        <v>26.754385964912281</v>
      </c>
      <c r="BJ175" s="309" t="s">
        <v>557</v>
      </c>
      <c r="BK175" s="307" t="s">
        <v>557</v>
      </c>
      <c r="BL175" s="319" t="s">
        <v>557</v>
      </c>
      <c r="BM175" s="320" t="s">
        <v>556</v>
      </c>
      <c r="BN175" s="321" t="s">
        <v>1838</v>
      </c>
      <c r="BO175" s="145" t="s">
        <v>998</v>
      </c>
      <c r="BP175" s="14" t="s">
        <v>556</v>
      </c>
      <c r="BQ175" s="14" t="s">
        <v>556</v>
      </c>
      <c r="BR175" s="72"/>
    </row>
    <row r="176" spans="1:70" s="56" customFormat="1" ht="13.95" customHeight="1" x14ac:dyDescent="0.3">
      <c r="A176" s="56" t="s">
        <v>459</v>
      </c>
      <c r="B176" s="57" t="s">
        <v>462</v>
      </c>
      <c r="C176" s="55" t="s">
        <v>46</v>
      </c>
      <c r="D176" s="58">
        <v>1</v>
      </c>
      <c r="E176" s="59"/>
      <c r="F176" s="60" t="s">
        <v>452</v>
      </c>
      <c r="G176" s="61" t="s">
        <v>11</v>
      </c>
      <c r="H176" s="61" t="s">
        <v>16</v>
      </c>
      <c r="I176" s="62" t="s">
        <v>16</v>
      </c>
      <c r="J176" s="63" t="s">
        <v>2006</v>
      </c>
      <c r="K176" s="99" t="s">
        <v>856</v>
      </c>
      <c r="L176" s="130">
        <v>491514930</v>
      </c>
      <c r="M176" s="109" t="s">
        <v>564</v>
      </c>
      <c r="N176" s="12" t="s">
        <v>855</v>
      </c>
      <c r="O176" s="100"/>
      <c r="P176" s="131">
        <v>603558528</v>
      </c>
      <c r="Q176" s="67"/>
      <c r="R176" s="68"/>
      <c r="S176" s="99"/>
      <c r="T176" s="65"/>
      <c r="U176" s="170">
        <f>760000+428071</f>
        <v>1188071</v>
      </c>
      <c r="V176" s="48">
        <f t="shared" si="32"/>
        <v>3600.2151515151513</v>
      </c>
      <c r="W176" s="171">
        <f t="shared" si="33"/>
        <v>2007.9586804376006</v>
      </c>
      <c r="X176" s="69">
        <v>0</v>
      </c>
      <c r="Y176" s="48">
        <f t="shared" si="34"/>
        <v>0</v>
      </c>
      <c r="Z176" s="137">
        <f t="shared" si="35"/>
        <v>0</v>
      </c>
      <c r="AA176" s="69">
        <v>0</v>
      </c>
      <c r="AB176" s="48">
        <f t="shared" si="36"/>
        <v>0</v>
      </c>
      <c r="AC176" s="137">
        <f t="shared" si="37"/>
        <v>0</v>
      </c>
      <c r="AD176" s="70">
        <f t="shared" si="38"/>
        <v>1188071</v>
      </c>
      <c r="AE176" s="71">
        <f t="shared" si="39"/>
        <v>3600.2151515151513</v>
      </c>
      <c r="AF176" s="193">
        <f t="shared" si="40"/>
        <v>2007.9586804376006</v>
      </c>
      <c r="AG176" s="185">
        <f t="shared" si="41"/>
        <v>6.5081950150643664E-2</v>
      </c>
      <c r="AH176" s="180">
        <f t="shared" si="46"/>
        <v>0.20291562766865928</v>
      </c>
      <c r="AI176" s="189">
        <v>330</v>
      </c>
      <c r="AJ176" s="125">
        <v>591.68100000000004</v>
      </c>
      <c r="AK176" s="149">
        <v>172</v>
      </c>
      <c r="AL176" s="221">
        <v>94</v>
      </c>
      <c r="AM176" s="216">
        <v>93.577981651376149</v>
      </c>
      <c r="AN176" s="213">
        <v>9.0909090909090899</v>
      </c>
      <c r="AO176" s="127">
        <v>3.6509999999999998</v>
      </c>
      <c r="AP176" s="133">
        <v>1.171</v>
      </c>
      <c r="AQ176" s="224">
        <f t="shared" si="42"/>
        <v>1.2790697674418605</v>
      </c>
      <c r="AR176" s="158">
        <v>258</v>
      </c>
      <c r="AS176" s="229">
        <f t="shared" si="43"/>
        <v>0.83544303797468356</v>
      </c>
      <c r="AT176" s="230">
        <v>395</v>
      </c>
      <c r="AU176" s="203">
        <v>18.484848484848484</v>
      </c>
      <c r="AV176" s="204">
        <v>63.333333333333329</v>
      </c>
      <c r="AW176" s="205">
        <v>18.181818181818183</v>
      </c>
      <c r="AX176" s="123">
        <v>6.5115999999999996</v>
      </c>
      <c r="AY176" s="281">
        <v>6.5693430656934311</v>
      </c>
      <c r="AZ176" s="282">
        <v>28.467153284671532</v>
      </c>
      <c r="BA176" s="283">
        <f t="shared" si="44"/>
        <v>64.963503649635044</v>
      </c>
      <c r="BB176" s="234">
        <v>92.72727272727272</v>
      </c>
      <c r="BC176" s="20">
        <v>2015</v>
      </c>
      <c r="BD176" s="263" t="s">
        <v>556</v>
      </c>
      <c r="BE176" s="261" t="s">
        <v>556</v>
      </c>
      <c r="BF176" s="259" t="s">
        <v>556</v>
      </c>
      <c r="BG176" s="256">
        <v>7.8688524590163942</v>
      </c>
      <c r="BH176" s="248" t="s">
        <v>556</v>
      </c>
      <c r="BI176" s="249">
        <v>74.305555555555557</v>
      </c>
      <c r="BJ176" s="309" t="s">
        <v>557</v>
      </c>
      <c r="BK176" s="307" t="s">
        <v>557</v>
      </c>
      <c r="BL176" s="319" t="s">
        <v>1728</v>
      </c>
      <c r="BM176" s="320" t="s">
        <v>556</v>
      </c>
      <c r="BN176" s="321" t="s">
        <v>1838</v>
      </c>
      <c r="BO176" s="145" t="s">
        <v>557</v>
      </c>
      <c r="BP176" s="14" t="s">
        <v>556</v>
      </c>
      <c r="BQ176" s="14" t="s">
        <v>557</v>
      </c>
    </row>
    <row r="177" spans="1:70" s="56" customFormat="1" ht="13.95" customHeight="1" x14ac:dyDescent="0.3">
      <c r="A177" s="56" t="s">
        <v>459</v>
      </c>
      <c r="B177" s="57" t="s">
        <v>462</v>
      </c>
      <c r="C177" s="55" t="s">
        <v>419</v>
      </c>
      <c r="D177" s="58">
        <v>1</v>
      </c>
      <c r="E177" s="59"/>
      <c r="F177" s="60" t="s">
        <v>456</v>
      </c>
      <c r="G177" s="61" t="s">
        <v>389</v>
      </c>
      <c r="H177" s="61" t="s">
        <v>389</v>
      </c>
      <c r="I177" s="62" t="s">
        <v>389</v>
      </c>
      <c r="J177" s="63" t="s">
        <v>2004</v>
      </c>
      <c r="K177" s="101" t="s">
        <v>1601</v>
      </c>
      <c r="L177" s="130">
        <v>499431155</v>
      </c>
      <c r="M177" s="109" t="s">
        <v>564</v>
      </c>
      <c r="N177" s="12" t="s">
        <v>1600</v>
      </c>
      <c r="O177" s="100"/>
      <c r="P177" s="131">
        <v>739425158</v>
      </c>
      <c r="Q177" s="84"/>
      <c r="S177" s="105"/>
      <c r="T177" s="112"/>
      <c r="U177" s="170">
        <v>400000</v>
      </c>
      <c r="V177" s="48">
        <f t="shared" si="32"/>
        <v>681.43100511073249</v>
      </c>
      <c r="W177" s="171">
        <f t="shared" si="33"/>
        <v>1305.120542564712</v>
      </c>
      <c r="X177" s="69">
        <v>174600</v>
      </c>
      <c r="Y177" s="48">
        <f t="shared" si="34"/>
        <v>297.44463373083477</v>
      </c>
      <c r="Z177" s="137">
        <f t="shared" si="35"/>
        <v>569.68511682949679</v>
      </c>
      <c r="AA177" s="69">
        <v>0</v>
      </c>
      <c r="AB177" s="48">
        <f t="shared" si="36"/>
        <v>0</v>
      </c>
      <c r="AC177" s="137">
        <f t="shared" si="37"/>
        <v>0</v>
      </c>
      <c r="AD177" s="70">
        <f t="shared" si="38"/>
        <v>574600</v>
      </c>
      <c r="AE177" s="71">
        <f t="shared" si="39"/>
        <v>978.87563884156725</v>
      </c>
      <c r="AF177" s="193">
        <f t="shared" si="40"/>
        <v>1874.8056593942088</v>
      </c>
      <c r="AG177" s="185">
        <f t="shared" si="41"/>
        <v>2.0569178449973149E-2</v>
      </c>
      <c r="AH177" s="180">
        <f t="shared" si="46"/>
        <v>0.11028790786948177</v>
      </c>
      <c r="AI177" s="189">
        <v>587</v>
      </c>
      <c r="AJ177" s="125">
        <v>306.48509999999999</v>
      </c>
      <c r="AK177" s="149">
        <v>177</v>
      </c>
      <c r="AL177" s="221">
        <v>129</v>
      </c>
      <c r="AM177" s="216">
        <v>66.826923076923066</v>
      </c>
      <c r="AN177" s="213">
        <v>3.3057851239669422</v>
      </c>
      <c r="AO177" s="127">
        <v>5.5869999999999997</v>
      </c>
      <c r="AP177" s="133">
        <v>1.042</v>
      </c>
      <c r="AQ177" s="224">
        <f t="shared" si="42"/>
        <v>1.0770642201834861</v>
      </c>
      <c r="AR177" s="158">
        <v>545</v>
      </c>
      <c r="AS177" s="229">
        <f t="shared" si="43"/>
        <v>0.85568513119533529</v>
      </c>
      <c r="AT177" s="230">
        <v>686</v>
      </c>
      <c r="AU177" s="203">
        <v>15.1618398637138</v>
      </c>
      <c r="AV177" s="204">
        <v>68.994889267461673</v>
      </c>
      <c r="AW177" s="205">
        <v>15.843270868824533</v>
      </c>
      <c r="AX177" s="123">
        <v>4.1363000000000003</v>
      </c>
      <c r="AY177" s="281">
        <v>4.7619047619047619</v>
      </c>
      <c r="AZ177" s="282">
        <v>50</v>
      </c>
      <c r="BA177" s="283">
        <f t="shared" si="44"/>
        <v>45.238095238095241</v>
      </c>
      <c r="BB177" s="234">
        <v>53.645833333333336</v>
      </c>
      <c r="BC177" s="20">
        <v>2015</v>
      </c>
      <c r="BD177" s="263" t="s">
        <v>556</v>
      </c>
      <c r="BE177" s="261" t="s">
        <v>556</v>
      </c>
      <c r="BF177" s="260" t="s">
        <v>557</v>
      </c>
      <c r="BG177" s="256">
        <v>11.046511627906977</v>
      </c>
      <c r="BH177" s="248" t="s">
        <v>556</v>
      </c>
      <c r="BI177" s="249">
        <v>48.297872340425528</v>
      </c>
      <c r="BJ177" s="308" t="s">
        <v>556</v>
      </c>
      <c r="BK177" s="307" t="s">
        <v>750</v>
      </c>
      <c r="BL177" s="319" t="s">
        <v>1728</v>
      </c>
      <c r="BM177" s="320" t="s">
        <v>556</v>
      </c>
      <c r="BN177" s="321" t="s">
        <v>2007</v>
      </c>
      <c r="BO177" s="145" t="s">
        <v>556</v>
      </c>
      <c r="BP177" s="14" t="s">
        <v>556</v>
      </c>
      <c r="BQ177" s="14" t="s">
        <v>556</v>
      </c>
    </row>
    <row r="178" spans="1:70" s="56" customFormat="1" ht="13.95" customHeight="1" x14ac:dyDescent="0.3">
      <c r="A178" s="56" t="s">
        <v>459</v>
      </c>
      <c r="B178" s="57" t="s">
        <v>462</v>
      </c>
      <c r="C178" s="55" t="s">
        <v>334</v>
      </c>
      <c r="D178" s="58">
        <v>1</v>
      </c>
      <c r="E178" s="59"/>
      <c r="F178" s="60" t="s">
        <v>455</v>
      </c>
      <c r="G178" s="61" t="s">
        <v>528</v>
      </c>
      <c r="H178" s="61" t="s">
        <v>528</v>
      </c>
      <c r="I178" s="62" t="s">
        <v>528</v>
      </c>
      <c r="J178" s="63" t="s">
        <v>2010</v>
      </c>
      <c r="K178" s="99" t="s">
        <v>2008</v>
      </c>
      <c r="L178" s="130">
        <v>494596265</v>
      </c>
      <c r="M178" s="109" t="s">
        <v>537</v>
      </c>
      <c r="N178" s="12" t="s">
        <v>1451</v>
      </c>
      <c r="O178" s="100" t="s">
        <v>1452</v>
      </c>
      <c r="P178" s="131" t="s">
        <v>2009</v>
      </c>
      <c r="Q178" s="67"/>
      <c r="R178" s="68"/>
      <c r="S178" s="99"/>
      <c r="T178" s="112"/>
      <c r="U178" s="170">
        <v>0</v>
      </c>
      <c r="V178" s="48">
        <f t="shared" si="32"/>
        <v>0</v>
      </c>
      <c r="W178" s="171">
        <f t="shared" si="33"/>
        <v>0</v>
      </c>
      <c r="X178" s="69">
        <v>96400</v>
      </c>
      <c r="Y178" s="48">
        <f t="shared" si="34"/>
        <v>64.872139973082099</v>
      </c>
      <c r="Z178" s="137">
        <f t="shared" si="35"/>
        <v>144.82106936238168</v>
      </c>
      <c r="AA178" s="69">
        <v>500000</v>
      </c>
      <c r="AB178" s="48">
        <f t="shared" si="36"/>
        <v>336.47375504710635</v>
      </c>
      <c r="AC178" s="137">
        <f t="shared" si="37"/>
        <v>751.14662532355646</v>
      </c>
      <c r="AD178" s="70">
        <f t="shared" si="38"/>
        <v>596400</v>
      </c>
      <c r="AE178" s="71">
        <f t="shared" si="39"/>
        <v>401.34589502018844</v>
      </c>
      <c r="AF178" s="193">
        <f t="shared" si="40"/>
        <v>895.96769468593811</v>
      </c>
      <c r="AG178" s="185">
        <f t="shared" si="41"/>
        <v>5.5281086341938167E-3</v>
      </c>
      <c r="AH178" s="180">
        <f t="shared" si="46"/>
        <v>3.9813084112149531E-2</v>
      </c>
      <c r="AI178" s="189">
        <v>1486</v>
      </c>
      <c r="AJ178" s="125">
        <v>665.649</v>
      </c>
      <c r="AK178" s="149">
        <v>412</v>
      </c>
      <c r="AL178" s="221">
        <v>322</v>
      </c>
      <c r="AM178" s="216">
        <v>70.172084130019115</v>
      </c>
      <c r="AN178" s="213">
        <v>2.3064250411861615</v>
      </c>
      <c r="AO178" s="127">
        <v>21.577000000000002</v>
      </c>
      <c r="AP178" s="133">
        <v>2.996</v>
      </c>
      <c r="AQ178" s="224">
        <f t="shared" si="42"/>
        <v>1.2955536181342633</v>
      </c>
      <c r="AR178" s="158">
        <v>1147</v>
      </c>
      <c r="AS178" s="229">
        <f t="shared" si="43"/>
        <v>1.6276013143483024</v>
      </c>
      <c r="AT178" s="230">
        <v>913</v>
      </c>
      <c r="AU178" s="203">
        <v>12.651413189771199</v>
      </c>
      <c r="AV178" s="204">
        <v>70.121130551816947</v>
      </c>
      <c r="AW178" s="205">
        <v>17.227456258411845</v>
      </c>
      <c r="AX178" s="123">
        <v>1.633</v>
      </c>
      <c r="AY178" s="281">
        <v>2.833333333333333</v>
      </c>
      <c r="AZ178" s="282">
        <v>52.166666666666664</v>
      </c>
      <c r="BA178" s="283">
        <f t="shared" si="44"/>
        <v>45.000000000000007</v>
      </c>
      <c r="BB178" s="234">
        <v>9.0724441435341916</v>
      </c>
      <c r="BC178" s="20">
        <v>2011</v>
      </c>
      <c r="BD178" s="263" t="s">
        <v>556</v>
      </c>
      <c r="BE178" s="261" t="s">
        <v>556</v>
      </c>
      <c r="BF178" s="259" t="s">
        <v>556</v>
      </c>
      <c r="BG178" s="256">
        <v>77.25155279503106</v>
      </c>
      <c r="BH178" s="248" t="s">
        <v>556</v>
      </c>
      <c r="BI178" s="249">
        <v>55.983606557377051</v>
      </c>
      <c r="BJ178" s="308" t="s">
        <v>556</v>
      </c>
      <c r="BK178" s="307" t="s">
        <v>750</v>
      </c>
      <c r="BL178" s="319" t="s">
        <v>1777</v>
      </c>
      <c r="BM178" s="320" t="s">
        <v>556</v>
      </c>
      <c r="BN178" s="321" t="s">
        <v>1957</v>
      </c>
      <c r="BO178" s="145" t="s">
        <v>556</v>
      </c>
      <c r="BP178" s="14" t="s">
        <v>557</v>
      </c>
      <c r="BQ178" s="14" t="s">
        <v>557</v>
      </c>
    </row>
    <row r="179" spans="1:70" s="72" customFormat="1" ht="13.95" customHeight="1" x14ac:dyDescent="0.3">
      <c r="A179" s="56" t="s">
        <v>459</v>
      </c>
      <c r="B179" s="57" t="s">
        <v>462</v>
      </c>
      <c r="C179" s="55" t="s">
        <v>157</v>
      </c>
      <c r="D179" s="58">
        <v>1</v>
      </c>
      <c r="E179" s="59"/>
      <c r="F179" s="60" t="s">
        <v>453</v>
      </c>
      <c r="G179" s="61" t="s">
        <v>113</v>
      </c>
      <c r="H179" s="61" t="s">
        <v>113</v>
      </c>
      <c r="I179" s="62" t="s">
        <v>113</v>
      </c>
      <c r="J179" s="63" t="s">
        <v>2011</v>
      </c>
      <c r="K179" s="99" t="s">
        <v>1088</v>
      </c>
      <c r="L179" s="130">
        <v>493591053</v>
      </c>
      <c r="M179" s="109" t="s">
        <v>537</v>
      </c>
      <c r="N179" s="12" t="s">
        <v>1087</v>
      </c>
      <c r="O179" s="100"/>
      <c r="P179" s="131">
        <v>725081048</v>
      </c>
      <c r="Q179" s="67"/>
      <c r="R179" s="68"/>
      <c r="S179" s="99"/>
      <c r="T179" s="65"/>
      <c r="U179" s="170">
        <v>0</v>
      </c>
      <c r="V179" s="48">
        <f t="shared" si="32"/>
        <v>0</v>
      </c>
      <c r="W179" s="171">
        <f t="shared" si="33"/>
        <v>0</v>
      </c>
      <c r="X179" s="69">
        <v>0</v>
      </c>
      <c r="Y179" s="48">
        <f t="shared" si="34"/>
        <v>0</v>
      </c>
      <c r="Z179" s="137">
        <f t="shared" si="35"/>
        <v>0</v>
      </c>
      <c r="AA179" s="69">
        <v>0</v>
      </c>
      <c r="AB179" s="48">
        <f t="shared" si="36"/>
        <v>0</v>
      </c>
      <c r="AC179" s="137">
        <f t="shared" si="37"/>
        <v>0</v>
      </c>
      <c r="AD179" s="70">
        <f t="shared" si="38"/>
        <v>0</v>
      </c>
      <c r="AE179" s="71">
        <f t="shared" si="39"/>
        <v>0</v>
      </c>
      <c r="AF179" s="193">
        <f t="shared" si="40"/>
        <v>0</v>
      </c>
      <c r="AG179" s="185">
        <f t="shared" si="41"/>
        <v>0</v>
      </c>
      <c r="AH179" s="180">
        <f t="shared" si="46"/>
        <v>0</v>
      </c>
      <c r="AI179" s="189">
        <v>63</v>
      </c>
      <c r="AJ179" s="125">
        <v>159.0489</v>
      </c>
      <c r="AK179" s="149">
        <v>89</v>
      </c>
      <c r="AL179" s="221">
        <v>34</v>
      </c>
      <c r="AM179" s="216">
        <v>100</v>
      </c>
      <c r="AN179" s="213">
        <v>47.058823529411761</v>
      </c>
      <c r="AO179" s="127">
        <v>0.57099999999999995</v>
      </c>
      <c r="AP179" s="133">
        <v>0.13800000000000001</v>
      </c>
      <c r="AQ179" s="224">
        <f t="shared" si="42"/>
        <v>1.4651162790697674</v>
      </c>
      <c r="AR179" s="158">
        <v>43</v>
      </c>
      <c r="AS179" s="229">
        <f t="shared" si="43"/>
        <v>0.32142857142857145</v>
      </c>
      <c r="AT179" s="230">
        <v>196</v>
      </c>
      <c r="AU179" s="203">
        <v>19.047619047619047</v>
      </c>
      <c r="AV179" s="204">
        <v>50.793650793650791</v>
      </c>
      <c r="AW179" s="205">
        <v>30.158730158730158</v>
      </c>
      <c r="AX179" s="123">
        <v>3.0303</v>
      </c>
      <c r="AY179" s="281">
        <v>5.1282051282051277</v>
      </c>
      <c r="AZ179" s="282">
        <v>33.333333333333329</v>
      </c>
      <c r="BA179" s="283">
        <f t="shared" si="44"/>
        <v>61.538461538461547</v>
      </c>
      <c r="BB179" s="234">
        <v>95.238095238095241</v>
      </c>
      <c r="BC179" s="20">
        <v>2010</v>
      </c>
      <c r="BD179" s="263" t="s">
        <v>556</v>
      </c>
      <c r="BE179" s="262" t="s">
        <v>557</v>
      </c>
      <c r="BF179" s="260" t="s">
        <v>557</v>
      </c>
      <c r="BG179" s="256">
        <v>0</v>
      </c>
      <c r="BH179" s="254" t="s">
        <v>557</v>
      </c>
      <c r="BI179" s="249">
        <v>0</v>
      </c>
      <c r="BJ179" s="309" t="s">
        <v>557</v>
      </c>
      <c r="BK179" s="307" t="s">
        <v>557</v>
      </c>
      <c r="BL179" s="319" t="s">
        <v>557</v>
      </c>
      <c r="BM179" s="320" t="s">
        <v>556</v>
      </c>
      <c r="BN179" s="321" t="s">
        <v>1838</v>
      </c>
      <c r="BO179" s="145" t="s">
        <v>557</v>
      </c>
      <c r="BP179" s="14" t="s">
        <v>557</v>
      </c>
      <c r="BQ179" s="14" t="s">
        <v>556</v>
      </c>
    </row>
    <row r="180" spans="1:70" s="56" customFormat="1" ht="13.95" customHeight="1" x14ac:dyDescent="0.3">
      <c r="A180" s="56" t="s">
        <v>459</v>
      </c>
      <c r="B180" s="57" t="s">
        <v>462</v>
      </c>
      <c r="C180" s="55" t="s">
        <v>420</v>
      </c>
      <c r="D180" s="58">
        <v>1</v>
      </c>
      <c r="E180" s="59"/>
      <c r="F180" s="60" t="s">
        <v>456</v>
      </c>
      <c r="G180" s="61" t="s">
        <v>378</v>
      </c>
      <c r="H180" s="61" t="s">
        <v>382</v>
      </c>
      <c r="I180" s="62" t="s">
        <v>382</v>
      </c>
      <c r="J180" s="63" t="s">
        <v>2012</v>
      </c>
      <c r="K180" s="101" t="s">
        <v>1603</v>
      </c>
      <c r="L180" s="130">
        <v>499879216</v>
      </c>
      <c r="M180" s="109" t="s">
        <v>564</v>
      </c>
      <c r="N180" s="12" t="s">
        <v>1602</v>
      </c>
      <c r="O180" s="100"/>
      <c r="P180" s="131"/>
      <c r="Q180" s="84"/>
      <c r="S180" s="105"/>
      <c r="T180" s="112"/>
      <c r="U180" s="170">
        <v>0</v>
      </c>
      <c r="V180" s="48">
        <f t="shared" si="32"/>
        <v>0</v>
      </c>
      <c r="W180" s="171">
        <f t="shared" si="33"/>
        <v>0</v>
      </c>
      <c r="X180" s="69">
        <v>123373</v>
      </c>
      <c r="Y180" s="48">
        <f t="shared" si="34"/>
        <v>308.4325</v>
      </c>
      <c r="Z180" s="137">
        <f t="shared" si="35"/>
        <v>211.22909504307688</v>
      </c>
      <c r="AA180" s="69">
        <v>0</v>
      </c>
      <c r="AB180" s="48">
        <f t="shared" si="36"/>
        <v>0</v>
      </c>
      <c r="AC180" s="137">
        <f t="shared" si="37"/>
        <v>0</v>
      </c>
      <c r="AD180" s="70">
        <f t="shared" si="38"/>
        <v>123373</v>
      </c>
      <c r="AE180" s="71">
        <f t="shared" si="39"/>
        <v>308.4325</v>
      </c>
      <c r="AF180" s="193">
        <f t="shared" si="40"/>
        <v>211.22909504307688</v>
      </c>
      <c r="AG180" s="185">
        <f t="shared" si="41"/>
        <v>4.6468173258003773E-3</v>
      </c>
      <c r="AH180" s="180">
        <f t="shared" si="46"/>
        <v>0.30462469135802472</v>
      </c>
      <c r="AI180" s="189">
        <v>400</v>
      </c>
      <c r="AJ180" s="125">
        <v>584.072</v>
      </c>
      <c r="AK180" s="149">
        <v>178</v>
      </c>
      <c r="AL180" s="221">
        <v>99</v>
      </c>
      <c r="AM180" s="216">
        <v>71.875</v>
      </c>
      <c r="AN180" s="213">
        <v>8.5</v>
      </c>
      <c r="AO180" s="127">
        <v>5.31</v>
      </c>
      <c r="AP180" s="133">
        <v>8.1000000000000003E-2</v>
      </c>
      <c r="AQ180" s="224">
        <f t="shared" si="42"/>
        <v>0.90293453724604966</v>
      </c>
      <c r="AR180" s="158">
        <v>443</v>
      </c>
      <c r="AS180" s="229">
        <f t="shared" si="43"/>
        <v>0.25756600128783003</v>
      </c>
      <c r="AT180" s="230">
        <v>1553</v>
      </c>
      <c r="AU180" s="203">
        <v>10.75</v>
      </c>
      <c r="AV180" s="204">
        <v>70.25</v>
      </c>
      <c r="AW180" s="205">
        <v>19</v>
      </c>
      <c r="AX180" s="123">
        <v>10.996600000000001</v>
      </c>
      <c r="AY180" s="281">
        <v>11.38211382113821</v>
      </c>
      <c r="AZ180" s="282">
        <v>39.024390243902438</v>
      </c>
      <c r="BA180" s="283">
        <f t="shared" si="44"/>
        <v>49.593495934959357</v>
      </c>
      <c r="BB180" s="234">
        <v>72.5</v>
      </c>
      <c r="BC180" s="120" t="s">
        <v>1811</v>
      </c>
      <c r="BD180" s="263" t="s">
        <v>556</v>
      </c>
      <c r="BE180" s="262" t="s">
        <v>557</v>
      </c>
      <c r="BF180" s="260" t="s">
        <v>557</v>
      </c>
      <c r="BG180" s="256">
        <v>0</v>
      </c>
      <c r="BH180" s="254" t="s">
        <v>557</v>
      </c>
      <c r="BI180" s="249">
        <v>0</v>
      </c>
      <c r="BJ180" s="309" t="s">
        <v>557</v>
      </c>
      <c r="BK180" s="307" t="s">
        <v>557</v>
      </c>
      <c r="BL180" s="319" t="s">
        <v>1728</v>
      </c>
      <c r="BM180" s="320" t="s">
        <v>556</v>
      </c>
      <c r="BN180" s="321" t="s">
        <v>1803</v>
      </c>
      <c r="BO180" s="145" t="s">
        <v>557</v>
      </c>
      <c r="BP180" s="14" t="s">
        <v>556</v>
      </c>
      <c r="BQ180" s="14" t="s">
        <v>556</v>
      </c>
      <c r="BR180" s="72"/>
    </row>
    <row r="181" spans="1:70" s="56" customFormat="1" ht="13.95" customHeight="1" x14ac:dyDescent="0.3">
      <c r="A181" s="56" t="s">
        <v>459</v>
      </c>
      <c r="B181" s="57" t="s">
        <v>462</v>
      </c>
      <c r="C181" s="55" t="s">
        <v>421</v>
      </c>
      <c r="D181" s="58">
        <v>2</v>
      </c>
      <c r="E181" s="59" t="s">
        <v>730</v>
      </c>
      <c r="F181" s="60" t="s">
        <v>456</v>
      </c>
      <c r="G181" s="61" t="s">
        <v>389</v>
      </c>
      <c r="H181" s="61" t="s">
        <v>389</v>
      </c>
      <c r="I181" s="62" t="s">
        <v>389</v>
      </c>
      <c r="J181" s="63" t="s">
        <v>2014</v>
      </c>
      <c r="K181" s="101" t="s">
        <v>2013</v>
      </c>
      <c r="L181" s="130">
        <v>499432234</v>
      </c>
      <c r="M181" s="109" t="s">
        <v>564</v>
      </c>
      <c r="N181" s="12" t="s">
        <v>1605</v>
      </c>
      <c r="O181" s="100" t="s">
        <v>1606</v>
      </c>
      <c r="P181" s="130">
        <v>499432211</v>
      </c>
      <c r="Q181" s="84"/>
      <c r="S181" s="105"/>
      <c r="T181" s="112" t="s">
        <v>457</v>
      </c>
      <c r="U181" s="170">
        <v>25725</v>
      </c>
      <c r="V181" s="48">
        <f t="shared" si="32"/>
        <v>14.291666666666666</v>
      </c>
      <c r="W181" s="171">
        <f t="shared" si="33"/>
        <v>15.174976772994736</v>
      </c>
      <c r="X181" s="69">
        <v>3767241</v>
      </c>
      <c r="Y181" s="48">
        <f t="shared" si="34"/>
        <v>2092.9116666666669</v>
      </c>
      <c r="Z181" s="137">
        <f t="shared" si="35"/>
        <v>2222.2660708755475</v>
      </c>
      <c r="AA181" s="69">
        <v>0</v>
      </c>
      <c r="AB181" s="48">
        <f t="shared" si="36"/>
        <v>0</v>
      </c>
      <c r="AC181" s="137">
        <f t="shared" si="37"/>
        <v>0</v>
      </c>
      <c r="AD181" s="70">
        <f t="shared" si="38"/>
        <v>3792966</v>
      </c>
      <c r="AE181" s="71">
        <f t="shared" si="39"/>
        <v>2107.2033333333334</v>
      </c>
      <c r="AF181" s="193">
        <f t="shared" si="40"/>
        <v>2237.4410476485423</v>
      </c>
      <c r="AG181" s="185">
        <f t="shared" si="41"/>
        <v>1.5697088584021357E-2</v>
      </c>
      <c r="AH181" s="180">
        <f t="shared" si="46"/>
        <v>2.1530758096103088E-2</v>
      </c>
      <c r="AI181" s="189">
        <v>1800</v>
      </c>
      <c r="AJ181" s="125">
        <v>1695.2249999999999</v>
      </c>
      <c r="AK181" s="149">
        <v>574</v>
      </c>
      <c r="AL181" s="221">
        <v>438</v>
      </c>
      <c r="AM181" s="216">
        <v>76.972624798711749</v>
      </c>
      <c r="AN181" s="213">
        <v>1.3605442176870748</v>
      </c>
      <c r="AO181" s="127">
        <v>48.326999999999998</v>
      </c>
      <c r="AP181" s="133">
        <v>35.232999999999997</v>
      </c>
      <c r="AQ181" s="224">
        <f t="shared" si="42"/>
        <v>1.2456747404844291</v>
      </c>
      <c r="AR181" s="158">
        <v>1445</v>
      </c>
      <c r="AS181" s="229">
        <f t="shared" si="43"/>
        <v>0.80285459411239968</v>
      </c>
      <c r="AT181" s="230">
        <v>2242</v>
      </c>
      <c r="AU181" s="203">
        <v>18.333333333333332</v>
      </c>
      <c r="AV181" s="204">
        <v>66.944444444444443</v>
      </c>
      <c r="AW181" s="205">
        <v>14.722222222222223</v>
      </c>
      <c r="AX181" s="123">
        <v>4.3300999999999998</v>
      </c>
      <c r="AY181" s="281">
        <v>3.4398034398034398</v>
      </c>
      <c r="AZ181" s="282">
        <v>44.471744471744472</v>
      </c>
      <c r="BA181" s="283">
        <f t="shared" si="44"/>
        <v>52.088452088452087</v>
      </c>
      <c r="BB181" s="234">
        <v>74.803149606299215</v>
      </c>
      <c r="BC181" s="20">
        <v>1998</v>
      </c>
      <c r="BD181" s="263" t="s">
        <v>556</v>
      </c>
      <c r="BE181" s="261" t="s">
        <v>556</v>
      </c>
      <c r="BF181" s="259" t="s">
        <v>556</v>
      </c>
      <c r="BG181" s="256">
        <v>28.203627852545349</v>
      </c>
      <c r="BH181" s="248" t="s">
        <v>556</v>
      </c>
      <c r="BI181" s="249">
        <v>64.205955334987593</v>
      </c>
      <c r="BJ181" s="308" t="s">
        <v>556</v>
      </c>
      <c r="BK181" s="307" t="s">
        <v>556</v>
      </c>
      <c r="BL181" s="319" t="s">
        <v>1728</v>
      </c>
      <c r="BM181" s="320" t="s">
        <v>556</v>
      </c>
      <c r="BN181" s="321" t="s">
        <v>1996</v>
      </c>
      <c r="BO181" s="145" t="s">
        <v>556</v>
      </c>
      <c r="BP181" s="14" t="s">
        <v>557</v>
      </c>
      <c r="BQ181" s="14" t="s">
        <v>557</v>
      </c>
      <c r="BR181" s="72"/>
    </row>
    <row r="182" spans="1:70" s="56" customFormat="1" ht="13.95" customHeight="1" x14ac:dyDescent="0.3">
      <c r="A182" s="56" t="s">
        <v>459</v>
      </c>
      <c r="B182" s="57" t="s">
        <v>462</v>
      </c>
      <c r="C182" s="55" t="s">
        <v>422</v>
      </c>
      <c r="D182" s="58">
        <v>5</v>
      </c>
      <c r="E182" s="59" t="s">
        <v>731</v>
      </c>
      <c r="F182" s="60" t="s">
        <v>456</v>
      </c>
      <c r="G182" s="61" t="s">
        <v>531</v>
      </c>
      <c r="H182" s="61" t="s">
        <v>531</v>
      </c>
      <c r="I182" s="62" t="s">
        <v>531</v>
      </c>
      <c r="J182" s="63" t="s">
        <v>2005</v>
      </c>
      <c r="K182" s="101" t="s">
        <v>1608</v>
      </c>
      <c r="L182" s="130">
        <v>499394160</v>
      </c>
      <c r="M182" s="109" t="s">
        <v>537</v>
      </c>
      <c r="N182" s="12" t="s">
        <v>1607</v>
      </c>
      <c r="O182" s="100"/>
      <c r="P182" s="131">
        <v>606957144</v>
      </c>
      <c r="Q182" s="82"/>
      <c r="R182" s="80"/>
      <c r="S182" s="116"/>
      <c r="T182" s="112"/>
      <c r="U182" s="170">
        <f>223000+430000</f>
        <v>653000</v>
      </c>
      <c r="V182" s="48">
        <f t="shared" si="32"/>
        <v>3510.7526881720432</v>
      </c>
      <c r="W182" s="171">
        <f t="shared" si="33"/>
        <v>823.63231943311894</v>
      </c>
      <c r="X182" s="69">
        <v>27000</v>
      </c>
      <c r="Y182" s="48">
        <f t="shared" si="34"/>
        <v>145.16129032258064</v>
      </c>
      <c r="Z182" s="137">
        <f t="shared" si="35"/>
        <v>34.055241385442898</v>
      </c>
      <c r="AA182" s="69">
        <v>0</v>
      </c>
      <c r="AB182" s="48">
        <f t="shared" si="36"/>
        <v>0</v>
      </c>
      <c r="AC182" s="137">
        <f t="shared" si="37"/>
        <v>0</v>
      </c>
      <c r="AD182" s="70">
        <f t="shared" si="38"/>
        <v>680000</v>
      </c>
      <c r="AE182" s="71">
        <f t="shared" si="39"/>
        <v>3655.9139784946237</v>
      </c>
      <c r="AF182" s="193">
        <f t="shared" si="40"/>
        <v>857.68756081856179</v>
      </c>
      <c r="AG182" s="185">
        <f t="shared" si="41"/>
        <v>2.2613900897904889E-2</v>
      </c>
      <c r="AH182" s="180">
        <f t="shared" si="46"/>
        <v>4.5760430686406464E-2</v>
      </c>
      <c r="AI182" s="189">
        <v>186</v>
      </c>
      <c r="AJ182" s="125">
        <v>792.82950000000005</v>
      </c>
      <c r="AK182" s="149">
        <v>158</v>
      </c>
      <c r="AL182" s="221">
        <v>64</v>
      </c>
      <c r="AM182" s="216">
        <v>87.671232876712324</v>
      </c>
      <c r="AN182" s="213">
        <v>23.48993288590604</v>
      </c>
      <c r="AO182" s="127">
        <v>6.0140000000000002</v>
      </c>
      <c r="AP182" s="133">
        <v>2.972</v>
      </c>
      <c r="AQ182" s="224">
        <f t="shared" si="42"/>
        <v>0.97382198952879584</v>
      </c>
      <c r="AR182" s="158">
        <v>191</v>
      </c>
      <c r="AS182" s="229">
        <f t="shared" si="43"/>
        <v>0.29570747217806043</v>
      </c>
      <c r="AT182" s="230">
        <v>629</v>
      </c>
      <c r="AU182" s="203">
        <v>14.516129032258066</v>
      </c>
      <c r="AV182" s="204">
        <v>59.13978494623656</v>
      </c>
      <c r="AW182" s="205">
        <v>26.344086021505376</v>
      </c>
      <c r="AX182" s="123">
        <v>9.1667000000000005</v>
      </c>
      <c r="AY182" s="281">
        <v>12.121212121212121</v>
      </c>
      <c r="AZ182" s="282">
        <v>33.333333333333329</v>
      </c>
      <c r="BA182" s="283">
        <f t="shared" si="44"/>
        <v>54.545454545454547</v>
      </c>
      <c r="BB182" s="234">
        <v>77.272727272727266</v>
      </c>
      <c r="BC182" s="19">
        <v>2011</v>
      </c>
      <c r="BD182" s="263" t="s">
        <v>556</v>
      </c>
      <c r="BE182" s="262" t="s">
        <v>557</v>
      </c>
      <c r="BF182" s="260" t="s">
        <v>557</v>
      </c>
      <c r="BG182" s="256">
        <v>0</v>
      </c>
      <c r="BH182" s="248" t="s">
        <v>556</v>
      </c>
      <c r="BI182" s="249">
        <v>23.428571428571431</v>
      </c>
      <c r="BJ182" s="308" t="s">
        <v>556</v>
      </c>
      <c r="BK182" s="307" t="s">
        <v>557</v>
      </c>
      <c r="BL182" s="319" t="s">
        <v>1728</v>
      </c>
      <c r="BM182" s="320" t="s">
        <v>556</v>
      </c>
      <c r="BN182" s="321" t="s">
        <v>1920</v>
      </c>
      <c r="BO182" s="145" t="s">
        <v>557</v>
      </c>
      <c r="BP182" s="10" t="s">
        <v>556</v>
      </c>
      <c r="BQ182" s="10" t="s">
        <v>557</v>
      </c>
    </row>
    <row r="183" spans="1:70" s="56" customFormat="1" ht="13.95" customHeight="1" x14ac:dyDescent="0.3">
      <c r="A183" s="56" t="s">
        <v>461</v>
      </c>
      <c r="B183" s="77" t="s">
        <v>464</v>
      </c>
      <c r="C183" s="74" t="s">
        <v>144</v>
      </c>
      <c r="D183" s="58">
        <v>9</v>
      </c>
      <c r="E183" s="59" t="s">
        <v>585</v>
      </c>
      <c r="F183" s="60" t="s">
        <v>453</v>
      </c>
      <c r="G183" s="75" t="s">
        <v>113</v>
      </c>
      <c r="H183" s="75" t="s">
        <v>144</v>
      </c>
      <c r="I183" s="76" t="s">
        <v>144</v>
      </c>
      <c r="J183" s="63" t="s">
        <v>784</v>
      </c>
      <c r="K183" s="99" t="s">
        <v>2015</v>
      </c>
      <c r="L183" s="130">
        <v>493792276</v>
      </c>
      <c r="M183" s="109" t="s">
        <v>564</v>
      </c>
      <c r="N183" s="12" t="s">
        <v>1089</v>
      </c>
      <c r="O183" s="100" t="s">
        <v>786</v>
      </c>
      <c r="P183" s="131">
        <v>493792092</v>
      </c>
      <c r="Q183" s="78" t="s">
        <v>782</v>
      </c>
      <c r="R183" s="68" t="s">
        <v>783</v>
      </c>
      <c r="S183" s="99" t="s">
        <v>785</v>
      </c>
      <c r="T183" s="131">
        <v>602282133</v>
      </c>
      <c r="U183" s="172">
        <v>0</v>
      </c>
      <c r="V183" s="135">
        <f t="shared" si="32"/>
        <v>0</v>
      </c>
      <c r="W183" s="173">
        <f t="shared" si="33"/>
        <v>0</v>
      </c>
      <c r="X183" s="69">
        <f>338319+101000</f>
        <v>439319</v>
      </c>
      <c r="Y183" s="48">
        <f t="shared" si="34"/>
        <v>117.84307939914163</v>
      </c>
      <c r="Z183" s="137">
        <f t="shared" si="35"/>
        <v>154.76707962994334</v>
      </c>
      <c r="AA183" s="69">
        <v>2050000</v>
      </c>
      <c r="AB183" s="48">
        <f t="shared" si="36"/>
        <v>549.89270386266094</v>
      </c>
      <c r="AC183" s="137">
        <f t="shared" si="37"/>
        <v>722.19164944239583</v>
      </c>
      <c r="AD183" s="70">
        <f t="shared" si="38"/>
        <v>2489319</v>
      </c>
      <c r="AE183" s="71">
        <f t="shared" si="39"/>
        <v>667.73578326180257</v>
      </c>
      <c r="AF183" s="193">
        <f t="shared" si="40"/>
        <v>876.95872907233911</v>
      </c>
      <c r="AG183" s="185">
        <f t="shared" si="41"/>
        <v>9.465631119645608E-3</v>
      </c>
      <c r="AH183" s="180">
        <f t="shared" si="46"/>
        <v>4.5776369988966531E-2</v>
      </c>
      <c r="AI183" s="189">
        <v>3728</v>
      </c>
      <c r="AJ183" s="126">
        <v>2838.5817000000002</v>
      </c>
      <c r="AK183" s="150">
        <v>1448</v>
      </c>
      <c r="AL183" s="221">
        <v>953</v>
      </c>
      <c r="AM183" s="216">
        <v>68.75</v>
      </c>
      <c r="AN183" s="213">
        <v>15.593047034764828</v>
      </c>
      <c r="AO183" s="128">
        <v>52.597000000000001</v>
      </c>
      <c r="AP183" s="134">
        <v>10.875999999999999</v>
      </c>
      <c r="AQ183" s="224">
        <f t="shared" si="42"/>
        <v>0.97515040544075338</v>
      </c>
      <c r="AR183" s="158">
        <v>3823</v>
      </c>
      <c r="AS183" s="229">
        <f t="shared" si="43"/>
        <v>0.78749471905365442</v>
      </c>
      <c r="AT183" s="230">
        <v>4734</v>
      </c>
      <c r="AU183" s="203">
        <v>15.236051502145923</v>
      </c>
      <c r="AV183" s="204">
        <v>64.458154506437765</v>
      </c>
      <c r="AW183" s="205">
        <v>20.305793991416309</v>
      </c>
      <c r="AX183" s="123">
        <v>4.2041000000000004</v>
      </c>
      <c r="AY183" s="281">
        <v>2.630005977286312</v>
      </c>
      <c r="AZ183" s="282">
        <v>35.624626419605498</v>
      </c>
      <c r="BA183" s="283">
        <f t="shared" si="44"/>
        <v>61.745367603108186</v>
      </c>
      <c r="BB183" s="234">
        <v>56.344410876132926</v>
      </c>
      <c r="BC183" s="20">
        <v>2014</v>
      </c>
      <c r="BD183" s="263" t="s">
        <v>556</v>
      </c>
      <c r="BE183" s="261" t="s">
        <v>556</v>
      </c>
      <c r="BF183" s="259" t="s">
        <v>556</v>
      </c>
      <c r="BG183" s="256">
        <v>81.318067578888574</v>
      </c>
      <c r="BH183" s="248" t="s">
        <v>556</v>
      </c>
      <c r="BI183" s="249">
        <v>68.135011441647592</v>
      </c>
      <c r="BJ183" s="308" t="s">
        <v>556</v>
      </c>
      <c r="BK183" s="307" t="s">
        <v>556</v>
      </c>
      <c r="BL183" s="319" t="s">
        <v>1728</v>
      </c>
      <c r="BM183" s="320" t="s">
        <v>556</v>
      </c>
      <c r="BN183" s="321" t="s">
        <v>2016</v>
      </c>
      <c r="BO183" s="145" t="s">
        <v>556</v>
      </c>
      <c r="BP183" s="14">
        <v>4</v>
      </c>
      <c r="BQ183" s="14" t="s">
        <v>556</v>
      </c>
      <c r="BR183" s="72"/>
    </row>
    <row r="184" spans="1:70" s="56" customFormat="1" ht="13.95" customHeight="1" x14ac:dyDescent="0.3">
      <c r="A184" s="56" t="s">
        <v>459</v>
      </c>
      <c r="B184" s="57" t="s">
        <v>462</v>
      </c>
      <c r="C184" s="55" t="s">
        <v>47</v>
      </c>
      <c r="D184" s="58">
        <v>3</v>
      </c>
      <c r="E184" s="59" t="s">
        <v>476</v>
      </c>
      <c r="F184" s="60" t="s">
        <v>452</v>
      </c>
      <c r="G184" s="61" t="s">
        <v>11</v>
      </c>
      <c r="H184" s="61" t="s">
        <v>525</v>
      </c>
      <c r="I184" s="62" t="s">
        <v>38</v>
      </c>
      <c r="J184" s="63" t="s">
        <v>2017</v>
      </c>
      <c r="K184" s="99" t="s">
        <v>858</v>
      </c>
      <c r="L184" s="130">
        <v>494627129</v>
      </c>
      <c r="M184" s="109" t="s">
        <v>564</v>
      </c>
      <c r="N184" s="12" t="s">
        <v>857</v>
      </c>
      <c r="O184" s="100"/>
      <c r="P184" s="131">
        <v>603923162</v>
      </c>
      <c r="Q184" s="67"/>
      <c r="R184" s="68"/>
      <c r="S184" s="99"/>
      <c r="T184" s="65"/>
      <c r="U184" s="170">
        <v>322000</v>
      </c>
      <c r="V184" s="48">
        <f t="shared" si="32"/>
        <v>825.64102564102564</v>
      </c>
      <c r="W184" s="171">
        <f t="shared" si="33"/>
        <v>314.29205032420884</v>
      </c>
      <c r="X184" s="69">
        <v>0</v>
      </c>
      <c r="Y184" s="48">
        <f t="shared" si="34"/>
        <v>0</v>
      </c>
      <c r="Z184" s="137">
        <f t="shared" si="35"/>
        <v>0</v>
      </c>
      <c r="AA184" s="69">
        <v>0</v>
      </c>
      <c r="AB184" s="48">
        <f t="shared" si="36"/>
        <v>0</v>
      </c>
      <c r="AC184" s="137">
        <f t="shared" si="37"/>
        <v>0</v>
      </c>
      <c r="AD184" s="70">
        <f t="shared" si="38"/>
        <v>322000</v>
      </c>
      <c r="AE184" s="71">
        <f t="shared" si="39"/>
        <v>825.64102564102564</v>
      </c>
      <c r="AF184" s="193">
        <f t="shared" si="40"/>
        <v>314.29205032420884</v>
      </c>
      <c r="AG184" s="185">
        <f t="shared" si="41"/>
        <v>2.0175438596491228E-2</v>
      </c>
      <c r="AH184" s="180">
        <f t="shared" si="46"/>
        <v>0.13702127659574467</v>
      </c>
      <c r="AI184" s="189">
        <v>390</v>
      </c>
      <c r="AJ184" s="125">
        <v>1024.5247999999999</v>
      </c>
      <c r="AK184" s="149">
        <v>142</v>
      </c>
      <c r="AL184" s="221">
        <v>87</v>
      </c>
      <c r="AM184" s="216">
        <v>78.861788617886177</v>
      </c>
      <c r="AN184" s="213">
        <v>10.365853658536587</v>
      </c>
      <c r="AO184" s="127">
        <v>3.1920000000000002</v>
      </c>
      <c r="AP184" s="133">
        <v>0.47</v>
      </c>
      <c r="AQ184" s="224">
        <f t="shared" si="42"/>
        <v>1.3043478260869565</v>
      </c>
      <c r="AR184" s="158">
        <v>299</v>
      </c>
      <c r="AS184" s="229">
        <f t="shared" si="43"/>
        <v>0.88036117381489842</v>
      </c>
      <c r="AT184" s="230">
        <v>443</v>
      </c>
      <c r="AU184" s="203">
        <v>15.897435897435896</v>
      </c>
      <c r="AV184" s="204">
        <v>67.692307692307693</v>
      </c>
      <c r="AW184" s="205">
        <v>16.410256410256409</v>
      </c>
      <c r="AX184" s="123">
        <v>7.5187999999999997</v>
      </c>
      <c r="AY184" s="281">
        <v>8.3870967741935498</v>
      </c>
      <c r="AZ184" s="282">
        <v>24.516129032258064</v>
      </c>
      <c r="BA184" s="283">
        <f t="shared" si="44"/>
        <v>67.096774193548384</v>
      </c>
      <c r="BB184" s="234">
        <v>94.871794871794862</v>
      </c>
      <c r="BC184" s="20">
        <v>2000</v>
      </c>
      <c r="BD184" s="263" t="s">
        <v>556</v>
      </c>
      <c r="BE184" s="261" t="s">
        <v>556</v>
      </c>
      <c r="BF184" s="260" t="s">
        <v>557</v>
      </c>
      <c r="BG184" s="256">
        <v>24.193548387096776</v>
      </c>
      <c r="BH184" s="248" t="s">
        <v>556</v>
      </c>
      <c r="BI184" s="249">
        <v>52.80898876404494</v>
      </c>
      <c r="BJ184" s="309" t="s">
        <v>557</v>
      </c>
      <c r="BK184" s="307" t="s">
        <v>557</v>
      </c>
      <c r="BL184" s="319" t="s">
        <v>1728</v>
      </c>
      <c r="BM184" s="320" t="s">
        <v>556</v>
      </c>
      <c r="BN184" s="321" t="s">
        <v>1767</v>
      </c>
      <c r="BO184" s="145" t="s">
        <v>557</v>
      </c>
      <c r="BP184" s="14">
        <v>2</v>
      </c>
      <c r="BQ184" s="14" t="s">
        <v>557</v>
      </c>
    </row>
    <row r="185" spans="1:70" s="56" customFormat="1" ht="13.95" customHeight="1" x14ac:dyDescent="0.3">
      <c r="A185" s="56" t="s">
        <v>459</v>
      </c>
      <c r="B185" s="57" t="s">
        <v>462</v>
      </c>
      <c r="C185" s="55" t="s">
        <v>48</v>
      </c>
      <c r="D185" s="58">
        <v>1</v>
      </c>
      <c r="E185" s="59"/>
      <c r="F185" s="60" t="s">
        <v>452</v>
      </c>
      <c r="G185" s="61" t="s">
        <v>11</v>
      </c>
      <c r="H185" s="61" t="s">
        <v>13</v>
      </c>
      <c r="I185" s="62" t="s">
        <v>17</v>
      </c>
      <c r="J185" s="63" t="s">
        <v>2018</v>
      </c>
      <c r="K185" s="99" t="s">
        <v>860</v>
      </c>
      <c r="L185" s="130">
        <v>495421958</v>
      </c>
      <c r="M185" s="109" t="s">
        <v>564</v>
      </c>
      <c r="N185" s="12" t="s">
        <v>859</v>
      </c>
      <c r="O185" s="100"/>
      <c r="P185" s="131">
        <v>724193570</v>
      </c>
      <c r="Q185" s="67"/>
      <c r="R185" s="68"/>
      <c r="S185" s="99"/>
      <c r="T185" s="65"/>
      <c r="U185" s="170">
        <v>135865</v>
      </c>
      <c r="V185" s="48">
        <f t="shared" si="32"/>
        <v>643.9099526066351</v>
      </c>
      <c r="W185" s="171">
        <f t="shared" si="33"/>
        <v>436.91903981682617</v>
      </c>
      <c r="X185" s="69">
        <v>3410</v>
      </c>
      <c r="Y185" s="48">
        <f t="shared" si="34"/>
        <v>16.161137440758292</v>
      </c>
      <c r="Z185" s="137">
        <f t="shared" si="35"/>
        <v>10.965987750895207</v>
      </c>
      <c r="AA185" s="69">
        <v>0</v>
      </c>
      <c r="AB185" s="48">
        <f t="shared" si="36"/>
        <v>0</v>
      </c>
      <c r="AC185" s="137">
        <f t="shared" si="37"/>
        <v>0</v>
      </c>
      <c r="AD185" s="70">
        <f t="shared" si="38"/>
        <v>139275</v>
      </c>
      <c r="AE185" s="71">
        <f t="shared" si="39"/>
        <v>660.07109004739334</v>
      </c>
      <c r="AF185" s="193">
        <f t="shared" si="40"/>
        <v>447.88502756772141</v>
      </c>
      <c r="AG185" s="185">
        <f t="shared" si="41"/>
        <v>2.7688866799204775E-2</v>
      </c>
      <c r="AH185" s="180">
        <f t="shared" si="46"/>
        <v>0.61899999999999999</v>
      </c>
      <c r="AI185" s="189">
        <v>211</v>
      </c>
      <c r="AJ185" s="125">
        <v>310.9615</v>
      </c>
      <c r="AK185" s="149">
        <v>102</v>
      </c>
      <c r="AL185" s="221">
        <v>60</v>
      </c>
      <c r="AM185" s="216">
        <v>92</v>
      </c>
      <c r="AN185" s="213">
        <v>7.4074074074074066</v>
      </c>
      <c r="AO185" s="127">
        <v>1.006</v>
      </c>
      <c r="AP185" s="133">
        <v>4.4999999999999998E-2</v>
      </c>
      <c r="AQ185" s="224">
        <f t="shared" si="42"/>
        <v>1.3439490445859872</v>
      </c>
      <c r="AR185" s="158">
        <v>157</v>
      </c>
      <c r="AS185" s="229">
        <f t="shared" si="43"/>
        <v>0.63363363363363367</v>
      </c>
      <c r="AT185" s="230">
        <v>333</v>
      </c>
      <c r="AU185" s="203">
        <v>17.061611374407583</v>
      </c>
      <c r="AV185" s="204">
        <v>64.928909952606631</v>
      </c>
      <c r="AW185" s="205">
        <v>18.009478672985782</v>
      </c>
      <c r="AX185" s="123">
        <v>5.3434999999999997</v>
      </c>
      <c r="AY185" s="281">
        <v>8.235294117647058</v>
      </c>
      <c r="AZ185" s="282">
        <v>43.529411764705884</v>
      </c>
      <c r="BA185" s="283">
        <f t="shared" si="44"/>
        <v>48.235294117647058</v>
      </c>
      <c r="BB185" s="234">
        <v>88</v>
      </c>
      <c r="BC185" s="20">
        <v>2010</v>
      </c>
      <c r="BD185" s="263" t="s">
        <v>556</v>
      </c>
      <c r="BE185" s="261" t="s">
        <v>556</v>
      </c>
      <c r="BF185" s="260" t="s">
        <v>557</v>
      </c>
      <c r="BG185" s="256">
        <v>20.408163265306122</v>
      </c>
      <c r="BH185" s="248" t="s">
        <v>556</v>
      </c>
      <c r="BI185" s="249">
        <v>56.25</v>
      </c>
      <c r="BJ185" s="309" t="s">
        <v>557</v>
      </c>
      <c r="BK185" s="307" t="s">
        <v>557</v>
      </c>
      <c r="BL185" s="319" t="s">
        <v>1728</v>
      </c>
      <c r="BM185" s="320" t="s">
        <v>556</v>
      </c>
      <c r="BN185" s="321" t="s">
        <v>1791</v>
      </c>
      <c r="BO185" s="145" t="s">
        <v>557</v>
      </c>
      <c r="BP185" s="14" t="s">
        <v>556</v>
      </c>
      <c r="BQ185" s="14" t="s">
        <v>557</v>
      </c>
    </row>
    <row r="186" spans="1:70" s="56" customFormat="1" ht="13.95" customHeight="1" x14ac:dyDescent="0.3">
      <c r="A186" s="56" t="s">
        <v>459</v>
      </c>
      <c r="B186" s="57" t="s">
        <v>462</v>
      </c>
      <c r="C186" s="55" t="s">
        <v>258</v>
      </c>
      <c r="D186" s="58">
        <v>3</v>
      </c>
      <c r="E186" s="59" t="s">
        <v>652</v>
      </c>
      <c r="F186" s="60" t="s">
        <v>454</v>
      </c>
      <c r="G186" s="61" t="s">
        <v>226</v>
      </c>
      <c r="H186" s="61" t="s">
        <v>233</v>
      </c>
      <c r="I186" s="62" t="s">
        <v>233</v>
      </c>
      <c r="J186" s="63" t="s">
        <v>2019</v>
      </c>
      <c r="K186" s="99" t="s">
        <v>1308</v>
      </c>
      <c r="L186" s="130">
        <v>491491243</v>
      </c>
      <c r="M186" s="109" t="s">
        <v>537</v>
      </c>
      <c r="N186" s="12" t="s">
        <v>1307</v>
      </c>
      <c r="O186" s="100"/>
      <c r="P186" s="131">
        <v>603333166</v>
      </c>
      <c r="Q186" s="67"/>
      <c r="R186" s="68"/>
      <c r="S186" s="99"/>
      <c r="T186" s="65"/>
      <c r="U186" s="170">
        <v>100000</v>
      </c>
      <c r="V186" s="48">
        <f t="shared" si="32"/>
        <v>334.44816053511704</v>
      </c>
      <c r="W186" s="171">
        <f t="shared" si="33"/>
        <v>168.95550691889696</v>
      </c>
      <c r="X186" s="69">
        <v>0</v>
      </c>
      <c r="Y186" s="48">
        <f t="shared" si="34"/>
        <v>0</v>
      </c>
      <c r="Z186" s="137">
        <f t="shared" si="35"/>
        <v>0</v>
      </c>
      <c r="AA186" s="69">
        <v>0</v>
      </c>
      <c r="AB186" s="48">
        <f t="shared" si="36"/>
        <v>0</v>
      </c>
      <c r="AC186" s="137">
        <f t="shared" si="37"/>
        <v>0</v>
      </c>
      <c r="AD186" s="70">
        <f t="shared" si="38"/>
        <v>100000</v>
      </c>
      <c r="AE186" s="71">
        <f t="shared" si="39"/>
        <v>334.44816053511704</v>
      </c>
      <c r="AF186" s="193">
        <f t="shared" si="40"/>
        <v>168.95550691889696</v>
      </c>
      <c r="AG186" s="185">
        <f t="shared" si="41"/>
        <v>9.0252707581227418E-3</v>
      </c>
      <c r="AH186" s="180" t="s">
        <v>457</v>
      </c>
      <c r="AI186" s="189">
        <v>299</v>
      </c>
      <c r="AJ186" s="125">
        <v>591.87180000000001</v>
      </c>
      <c r="AK186" s="149">
        <v>167</v>
      </c>
      <c r="AL186" s="221">
        <v>83</v>
      </c>
      <c r="AM186" s="216">
        <v>86.458333333333343</v>
      </c>
      <c r="AN186" s="213">
        <v>34.302325581395351</v>
      </c>
      <c r="AO186" s="127">
        <v>2.2160000000000002</v>
      </c>
      <c r="AP186" s="133">
        <v>0</v>
      </c>
      <c r="AQ186" s="224">
        <f t="shared" si="42"/>
        <v>1.3468468468468469</v>
      </c>
      <c r="AR186" s="158">
        <v>222</v>
      </c>
      <c r="AS186" s="229">
        <f t="shared" si="43"/>
        <v>0.50850340136054417</v>
      </c>
      <c r="AT186" s="230">
        <v>588</v>
      </c>
      <c r="AU186" s="203">
        <v>14.715719063545151</v>
      </c>
      <c r="AV186" s="204">
        <v>69.565217391304344</v>
      </c>
      <c r="AW186" s="205">
        <v>15.719063545150503</v>
      </c>
      <c r="AX186" s="123">
        <v>5.0251000000000001</v>
      </c>
      <c r="AY186" s="281">
        <v>12.149532710280374</v>
      </c>
      <c r="AZ186" s="282">
        <v>26.168224299065418</v>
      </c>
      <c r="BA186" s="283">
        <f t="shared" si="44"/>
        <v>61.682242990654217</v>
      </c>
      <c r="BB186" s="234">
        <v>81.632653061224488</v>
      </c>
      <c r="BC186" s="20">
        <v>2002</v>
      </c>
      <c r="BD186" s="263" t="s">
        <v>556</v>
      </c>
      <c r="BE186" s="261" t="s">
        <v>556</v>
      </c>
      <c r="BF186" s="260" t="s">
        <v>557</v>
      </c>
      <c r="BG186" s="256">
        <v>22.779922779922778</v>
      </c>
      <c r="BH186" s="248" t="s">
        <v>556</v>
      </c>
      <c r="BI186" s="249">
        <v>52.52100840336135</v>
      </c>
      <c r="BJ186" s="309" t="s">
        <v>557</v>
      </c>
      <c r="BK186" s="307" t="s">
        <v>557</v>
      </c>
      <c r="BL186" s="319" t="s">
        <v>1728</v>
      </c>
      <c r="BM186" s="320" t="s">
        <v>557</v>
      </c>
      <c r="BN186" s="321" t="s">
        <v>1838</v>
      </c>
      <c r="BO186" s="145" t="s">
        <v>557</v>
      </c>
      <c r="BP186" s="14" t="s">
        <v>557</v>
      </c>
      <c r="BQ186" s="14" t="s">
        <v>557</v>
      </c>
      <c r="BR186" s="80"/>
    </row>
    <row r="187" spans="1:70" s="56" customFormat="1" ht="13.95" customHeight="1" x14ac:dyDescent="0.3">
      <c r="A187" s="56" t="s">
        <v>459</v>
      </c>
      <c r="B187" s="57" t="s">
        <v>462</v>
      </c>
      <c r="C187" s="55" t="s">
        <v>49</v>
      </c>
      <c r="D187" s="58">
        <v>2</v>
      </c>
      <c r="E187" s="59" t="s">
        <v>477</v>
      </c>
      <c r="F187" s="60" t="s">
        <v>452</v>
      </c>
      <c r="G187" s="61" t="s">
        <v>11</v>
      </c>
      <c r="H187" s="61" t="s">
        <v>11</v>
      </c>
      <c r="I187" s="62" t="s">
        <v>11</v>
      </c>
      <c r="J187" s="63" t="s">
        <v>861</v>
      </c>
      <c r="K187" s="99" t="s">
        <v>862</v>
      </c>
      <c r="L187" s="130">
        <v>495585207</v>
      </c>
      <c r="M187" s="109" t="s">
        <v>564</v>
      </c>
      <c r="N187" s="12" t="s">
        <v>863</v>
      </c>
      <c r="O187" s="100"/>
      <c r="P187" s="131">
        <v>606600030</v>
      </c>
      <c r="Q187" s="67"/>
      <c r="R187" s="68"/>
      <c r="S187" s="99"/>
      <c r="T187" s="65"/>
      <c r="U187" s="170">
        <f>35000+26035+622014</f>
        <v>683049</v>
      </c>
      <c r="V187" s="48">
        <f t="shared" si="32"/>
        <v>719.75658587987357</v>
      </c>
      <c r="W187" s="171">
        <f t="shared" si="33"/>
        <v>815.58469346902041</v>
      </c>
      <c r="X187" s="69">
        <v>125000</v>
      </c>
      <c r="Y187" s="48">
        <f t="shared" si="34"/>
        <v>131.71759747102212</v>
      </c>
      <c r="Z187" s="137">
        <f t="shared" si="35"/>
        <v>149.25442637882136</v>
      </c>
      <c r="AA187" s="69">
        <v>0</v>
      </c>
      <c r="AB187" s="48">
        <f t="shared" si="36"/>
        <v>0</v>
      </c>
      <c r="AC187" s="137">
        <f t="shared" si="37"/>
        <v>0</v>
      </c>
      <c r="AD187" s="70">
        <f t="shared" si="38"/>
        <v>808049</v>
      </c>
      <c r="AE187" s="71">
        <f t="shared" si="39"/>
        <v>851.47418335089571</v>
      </c>
      <c r="AF187" s="193">
        <f t="shared" si="40"/>
        <v>964.83911984784174</v>
      </c>
      <c r="AG187" s="185">
        <f t="shared" si="41"/>
        <v>1.9386972168905951E-2</v>
      </c>
      <c r="AH187" s="180">
        <f t="shared" ref="AH187:AH218" si="47">IF(AD187=0,0,1/(AP187*5000000/AD187))</f>
        <v>1.1301384615384618</v>
      </c>
      <c r="AI187" s="189">
        <v>949</v>
      </c>
      <c r="AJ187" s="125">
        <v>837.49609999999996</v>
      </c>
      <c r="AK187" s="149">
        <v>309</v>
      </c>
      <c r="AL187" s="221">
        <v>248</v>
      </c>
      <c r="AM187" s="216">
        <v>94.561933534743204</v>
      </c>
      <c r="AN187" s="213">
        <v>0.26315789473684209</v>
      </c>
      <c r="AO187" s="127">
        <v>8.3360000000000003</v>
      </c>
      <c r="AP187" s="133">
        <v>0.14299999999999999</v>
      </c>
      <c r="AQ187" s="224">
        <f t="shared" si="42"/>
        <v>1.2755376344086022</v>
      </c>
      <c r="AR187" s="158">
        <v>744</v>
      </c>
      <c r="AS187" s="229">
        <f t="shared" si="43"/>
        <v>1.1311084624553038</v>
      </c>
      <c r="AT187" s="230">
        <v>839</v>
      </c>
      <c r="AU187" s="203">
        <v>17.597471022128556</v>
      </c>
      <c r="AV187" s="204">
        <v>67.755532139093788</v>
      </c>
      <c r="AW187" s="205">
        <v>14.64699683877766</v>
      </c>
      <c r="AX187" s="123">
        <v>4.5941999999999998</v>
      </c>
      <c r="AY187" s="281">
        <v>6.8807339449541285</v>
      </c>
      <c r="AZ187" s="282">
        <v>27.75229357798165</v>
      </c>
      <c r="BA187" s="283">
        <f t="shared" si="44"/>
        <v>65.366972477064223</v>
      </c>
      <c r="BB187" s="234">
        <v>80.392156862745097</v>
      </c>
      <c r="BC187" s="20">
        <v>1997</v>
      </c>
      <c r="BD187" s="263" t="s">
        <v>556</v>
      </c>
      <c r="BE187" s="261" t="s">
        <v>556</v>
      </c>
      <c r="BF187" s="259" t="s">
        <v>556</v>
      </c>
      <c r="BG187" s="256">
        <v>88.791208791208788</v>
      </c>
      <c r="BH187" s="248" t="s">
        <v>556</v>
      </c>
      <c r="BI187" s="249">
        <v>46.612149532710276</v>
      </c>
      <c r="BJ187" s="308" t="s">
        <v>556</v>
      </c>
      <c r="BK187" s="307" t="s">
        <v>750</v>
      </c>
      <c r="BL187" s="319" t="s">
        <v>1728</v>
      </c>
      <c r="BM187" s="320" t="s">
        <v>556</v>
      </c>
      <c r="BN187" s="321" t="s">
        <v>1838</v>
      </c>
      <c r="BO187" s="145" t="s">
        <v>556</v>
      </c>
      <c r="BP187" s="14" t="s">
        <v>556</v>
      </c>
      <c r="BQ187" s="14" t="s">
        <v>556</v>
      </c>
      <c r="BR187" s="72"/>
    </row>
    <row r="188" spans="1:70" s="56" customFormat="1" ht="13.95" customHeight="1" x14ac:dyDescent="0.3">
      <c r="A188" s="56" t="s">
        <v>459</v>
      </c>
      <c r="B188" s="57" t="s">
        <v>462</v>
      </c>
      <c r="C188" s="55" t="s">
        <v>335</v>
      </c>
      <c r="D188" s="58">
        <v>1</v>
      </c>
      <c r="E188" s="59"/>
      <c r="F188" s="60" t="s">
        <v>455</v>
      </c>
      <c r="G188" s="61" t="s">
        <v>528</v>
      </c>
      <c r="H188" s="61" t="s">
        <v>336</v>
      </c>
      <c r="I188" s="62" t="s">
        <v>336</v>
      </c>
      <c r="J188" s="63" t="s">
        <v>2020</v>
      </c>
      <c r="K188" s="99" t="s">
        <v>1454</v>
      </c>
      <c r="L188" s="130">
        <v>494546121</v>
      </c>
      <c r="M188" s="109" t="s">
        <v>564</v>
      </c>
      <c r="N188" s="12" t="s">
        <v>1453</v>
      </c>
      <c r="O188" s="100"/>
      <c r="P188" s="131">
        <v>724189544</v>
      </c>
      <c r="Q188" s="67"/>
      <c r="R188" s="68"/>
      <c r="S188" s="99"/>
      <c r="T188" s="112"/>
      <c r="U188" s="170">
        <f>210069+15816+151552</f>
        <v>377437</v>
      </c>
      <c r="V188" s="48">
        <f t="shared" si="32"/>
        <v>1229.4364820846906</v>
      </c>
      <c r="W188" s="171">
        <f t="shared" si="33"/>
        <v>660.18036864328224</v>
      </c>
      <c r="X188" s="69">
        <v>0</v>
      </c>
      <c r="Y188" s="48">
        <f t="shared" si="34"/>
        <v>0</v>
      </c>
      <c r="Z188" s="137">
        <f t="shared" si="35"/>
        <v>0</v>
      </c>
      <c r="AA188" s="69">
        <v>0</v>
      </c>
      <c r="AB188" s="48">
        <f t="shared" si="36"/>
        <v>0</v>
      </c>
      <c r="AC188" s="137">
        <f t="shared" si="37"/>
        <v>0</v>
      </c>
      <c r="AD188" s="70">
        <f t="shared" si="38"/>
        <v>377437</v>
      </c>
      <c r="AE188" s="71">
        <f t="shared" si="39"/>
        <v>1229.4364820846906</v>
      </c>
      <c r="AF188" s="193">
        <f t="shared" si="40"/>
        <v>660.18036864328224</v>
      </c>
      <c r="AG188" s="185">
        <f t="shared" si="41"/>
        <v>1.235068717277487E-2</v>
      </c>
      <c r="AH188" s="180">
        <f t="shared" si="47"/>
        <v>3.7444146825396825E-2</v>
      </c>
      <c r="AI188" s="189">
        <v>307</v>
      </c>
      <c r="AJ188" s="125">
        <v>571.71799999999996</v>
      </c>
      <c r="AK188" s="149">
        <v>122</v>
      </c>
      <c r="AL188" s="221">
        <v>80</v>
      </c>
      <c r="AM188" s="216">
        <v>96</v>
      </c>
      <c r="AN188" s="213">
        <v>0.8928571428571429</v>
      </c>
      <c r="AO188" s="127">
        <v>6.1120000000000001</v>
      </c>
      <c r="AP188" s="133">
        <v>2.016</v>
      </c>
      <c r="AQ188" s="224">
        <f t="shared" si="42"/>
        <v>1.1043165467625899</v>
      </c>
      <c r="AR188" s="158">
        <v>278</v>
      </c>
      <c r="AS188" s="229">
        <f t="shared" si="43"/>
        <v>0.78717948717948716</v>
      </c>
      <c r="AT188" s="230">
        <v>390</v>
      </c>
      <c r="AU188" s="203">
        <v>17.915309446254071</v>
      </c>
      <c r="AV188" s="204">
        <v>65.472312703583071</v>
      </c>
      <c r="AW188" s="205">
        <v>16.612377850162865</v>
      </c>
      <c r="AX188" s="123">
        <v>4.0404</v>
      </c>
      <c r="AY188" s="281">
        <v>14.166666666666666</v>
      </c>
      <c r="AZ188" s="282">
        <v>40.833333333333336</v>
      </c>
      <c r="BA188" s="283">
        <f t="shared" si="44"/>
        <v>44.999999999999993</v>
      </c>
      <c r="BB188" s="234">
        <v>88.333333333333343</v>
      </c>
      <c r="BC188" s="20">
        <v>2011</v>
      </c>
      <c r="BD188" s="263" t="s">
        <v>556</v>
      </c>
      <c r="BE188" s="262" t="s">
        <v>557</v>
      </c>
      <c r="BF188" s="260" t="s">
        <v>557</v>
      </c>
      <c r="BG188" s="256">
        <v>0</v>
      </c>
      <c r="BH188" s="248" t="s">
        <v>556</v>
      </c>
      <c r="BI188" s="249">
        <v>28.735632183908045</v>
      </c>
      <c r="BJ188" s="308" t="s">
        <v>556</v>
      </c>
      <c r="BK188" s="312" t="s">
        <v>556</v>
      </c>
      <c r="BL188" s="319" t="s">
        <v>1728</v>
      </c>
      <c r="BM188" s="320" t="s">
        <v>556</v>
      </c>
      <c r="BN188" s="321" t="s">
        <v>1838</v>
      </c>
      <c r="BO188" s="145" t="s">
        <v>556</v>
      </c>
      <c r="BP188" s="14" t="s">
        <v>556</v>
      </c>
      <c r="BQ188" s="14" t="s">
        <v>557</v>
      </c>
      <c r="BR188" s="72"/>
    </row>
    <row r="189" spans="1:70" s="72" customFormat="1" ht="13.95" customHeight="1" x14ac:dyDescent="0.3">
      <c r="A189" s="56" t="s">
        <v>459</v>
      </c>
      <c r="B189" s="77" t="s">
        <v>464</v>
      </c>
      <c r="C189" s="74" t="s">
        <v>115</v>
      </c>
      <c r="D189" s="58">
        <v>5</v>
      </c>
      <c r="E189" s="59" t="s">
        <v>586</v>
      </c>
      <c r="F189" s="60" t="s">
        <v>453</v>
      </c>
      <c r="G189" s="75" t="s">
        <v>113</v>
      </c>
      <c r="H189" s="75" t="s">
        <v>114</v>
      </c>
      <c r="I189" s="76" t="s">
        <v>115</v>
      </c>
      <c r="J189" s="63" t="s">
        <v>2023</v>
      </c>
      <c r="K189" s="99" t="s">
        <v>2022</v>
      </c>
      <c r="L189" s="130">
        <v>493598191</v>
      </c>
      <c r="M189" s="109" t="s">
        <v>564</v>
      </c>
      <c r="N189" s="12" t="s">
        <v>1090</v>
      </c>
      <c r="O189" s="100" t="s">
        <v>1091</v>
      </c>
      <c r="P189" s="131" t="s">
        <v>2021</v>
      </c>
      <c r="Q189" s="67"/>
      <c r="R189" s="68"/>
      <c r="S189" s="99"/>
      <c r="T189" s="65"/>
      <c r="U189" s="170">
        <f>95165+91890+53700</f>
        <v>240755</v>
      </c>
      <c r="V189" s="48">
        <f t="shared" si="32"/>
        <v>138.04759174311926</v>
      </c>
      <c r="W189" s="171">
        <f t="shared" si="33"/>
        <v>122.37184909198416</v>
      </c>
      <c r="X189" s="69">
        <v>1120450</v>
      </c>
      <c r="Y189" s="48">
        <f t="shared" si="34"/>
        <v>642.45986238532112</v>
      </c>
      <c r="Z189" s="137">
        <f t="shared" si="35"/>
        <v>569.50650376986414</v>
      </c>
      <c r="AA189" s="69">
        <v>0</v>
      </c>
      <c r="AB189" s="48">
        <f t="shared" si="36"/>
        <v>0</v>
      </c>
      <c r="AC189" s="137">
        <f t="shared" si="37"/>
        <v>0</v>
      </c>
      <c r="AD189" s="70">
        <f t="shared" si="38"/>
        <v>1361205</v>
      </c>
      <c r="AE189" s="71">
        <f t="shared" si="39"/>
        <v>780.50745412844037</v>
      </c>
      <c r="AF189" s="193">
        <f t="shared" si="40"/>
        <v>691.87835286184838</v>
      </c>
      <c r="AG189" s="185">
        <f t="shared" si="41"/>
        <v>9.9249362012395186E-3</v>
      </c>
      <c r="AH189" s="180">
        <f t="shared" si="47"/>
        <v>3.7110278080697924E-2</v>
      </c>
      <c r="AI189" s="189">
        <v>1744</v>
      </c>
      <c r="AJ189" s="126">
        <v>1967.4050999999999</v>
      </c>
      <c r="AK189" s="150">
        <v>820</v>
      </c>
      <c r="AL189" s="221">
        <v>565</v>
      </c>
      <c r="AM189" s="216">
        <v>83.904619970193735</v>
      </c>
      <c r="AN189" s="213">
        <v>14.253897550111358</v>
      </c>
      <c r="AO189" s="128">
        <v>27.43</v>
      </c>
      <c r="AP189" s="134">
        <v>7.3360000000000003</v>
      </c>
      <c r="AQ189" s="224">
        <f t="shared" si="42"/>
        <v>1.0301240401653868</v>
      </c>
      <c r="AR189" s="158">
        <v>1693</v>
      </c>
      <c r="AS189" s="229">
        <f t="shared" si="43"/>
        <v>0.56258064516129036</v>
      </c>
      <c r="AT189" s="230">
        <v>3100</v>
      </c>
      <c r="AU189" s="203">
        <v>15.022935779816512</v>
      </c>
      <c r="AV189" s="204">
        <v>66.055045871559642</v>
      </c>
      <c r="AW189" s="205">
        <v>18.922018348623855</v>
      </c>
      <c r="AX189" s="123">
        <v>3.3650000000000002</v>
      </c>
      <c r="AY189" s="281">
        <v>2.7247956403269753</v>
      </c>
      <c r="AZ189" s="282">
        <v>50.95367847411444</v>
      </c>
      <c r="BA189" s="283">
        <f t="shared" si="44"/>
        <v>46.321525885558586</v>
      </c>
      <c r="BB189" s="234">
        <v>55.63725490196078</v>
      </c>
      <c r="BC189" s="20">
        <v>2000</v>
      </c>
      <c r="BD189" s="263" t="s">
        <v>556</v>
      </c>
      <c r="BE189" s="261" t="s">
        <v>556</v>
      </c>
      <c r="BF189" s="259" t="s">
        <v>556</v>
      </c>
      <c r="BG189" s="256">
        <v>76.866585067319463</v>
      </c>
      <c r="BH189" s="248" t="s">
        <v>556</v>
      </c>
      <c r="BI189" s="249">
        <v>21.85089974293059</v>
      </c>
      <c r="BJ189" s="311" t="s">
        <v>1709</v>
      </c>
      <c r="BK189" s="307" t="s">
        <v>556</v>
      </c>
      <c r="BL189" s="319" t="s">
        <v>1728</v>
      </c>
      <c r="BM189" s="320" t="s">
        <v>556</v>
      </c>
      <c r="BN189" s="321" t="s">
        <v>2039</v>
      </c>
      <c r="BO189" s="145" t="s">
        <v>556</v>
      </c>
      <c r="BP189" s="14">
        <v>3</v>
      </c>
      <c r="BQ189" s="14" t="s">
        <v>556</v>
      </c>
      <c r="BR189" s="56"/>
    </row>
    <row r="190" spans="1:70" s="56" customFormat="1" ht="13.95" customHeight="1" x14ac:dyDescent="0.3">
      <c r="A190" s="56" t="s">
        <v>459</v>
      </c>
      <c r="B190" s="57" t="s">
        <v>462</v>
      </c>
      <c r="C190" s="55" t="s">
        <v>50</v>
      </c>
      <c r="D190" s="58">
        <v>2</v>
      </c>
      <c r="E190" s="59" t="s">
        <v>478</v>
      </c>
      <c r="F190" s="60" t="s">
        <v>452</v>
      </c>
      <c r="G190" s="61" t="s">
        <v>11</v>
      </c>
      <c r="H190" s="61" t="s">
        <v>11</v>
      </c>
      <c r="I190" s="62" t="s">
        <v>11</v>
      </c>
      <c r="J190" s="63" t="s">
        <v>2025</v>
      </c>
      <c r="K190" s="99" t="s">
        <v>2024</v>
      </c>
      <c r="L190" s="130">
        <v>495585127</v>
      </c>
      <c r="M190" s="109" t="s">
        <v>537</v>
      </c>
      <c r="N190" s="12" t="s">
        <v>865</v>
      </c>
      <c r="O190" s="100" t="s">
        <v>864</v>
      </c>
      <c r="P190" s="131"/>
      <c r="Q190" s="67"/>
      <c r="R190" s="68"/>
      <c r="S190" s="99"/>
      <c r="T190" s="65"/>
      <c r="U190" s="170">
        <f>355755+600000</f>
        <v>955755</v>
      </c>
      <c r="V190" s="48">
        <f t="shared" si="32"/>
        <v>1079.949152542373</v>
      </c>
      <c r="W190" s="171">
        <f t="shared" si="33"/>
        <v>1889.7289837334879</v>
      </c>
      <c r="X190" s="69">
        <v>40600</v>
      </c>
      <c r="Y190" s="48">
        <f t="shared" si="34"/>
        <v>45.875706214689266</v>
      </c>
      <c r="Z190" s="137">
        <f t="shared" si="35"/>
        <v>80.274753194678141</v>
      </c>
      <c r="AA190" s="69">
        <v>0</v>
      </c>
      <c r="AB190" s="48">
        <f t="shared" si="36"/>
        <v>0</v>
      </c>
      <c r="AC190" s="137">
        <f t="shared" si="37"/>
        <v>0</v>
      </c>
      <c r="AD190" s="70">
        <f t="shared" si="38"/>
        <v>996355</v>
      </c>
      <c r="AE190" s="71">
        <f t="shared" si="39"/>
        <v>1125.8248587570622</v>
      </c>
      <c r="AF190" s="193">
        <f t="shared" si="40"/>
        <v>1970.0037369281661</v>
      </c>
      <c r="AG190" s="185">
        <f t="shared" si="41"/>
        <v>1.8927716565349546E-2</v>
      </c>
      <c r="AH190" s="180">
        <f t="shared" si="47"/>
        <v>0.28589813486370164</v>
      </c>
      <c r="AI190" s="189">
        <v>885</v>
      </c>
      <c r="AJ190" s="125">
        <v>505.76299999999998</v>
      </c>
      <c r="AK190" s="149">
        <v>289</v>
      </c>
      <c r="AL190" s="221">
        <v>231</v>
      </c>
      <c r="AM190" s="216">
        <v>90.175438596491233</v>
      </c>
      <c r="AN190" s="213">
        <v>2.9940119760479043</v>
      </c>
      <c r="AO190" s="127">
        <v>10.528</v>
      </c>
      <c r="AP190" s="133">
        <v>0.69699999999999995</v>
      </c>
      <c r="AQ190" s="224">
        <f t="shared" si="42"/>
        <v>1.1911170928667565</v>
      </c>
      <c r="AR190" s="158">
        <v>743</v>
      </c>
      <c r="AS190" s="229">
        <f t="shared" si="43"/>
        <v>1.1991869918699187</v>
      </c>
      <c r="AT190" s="230">
        <v>738</v>
      </c>
      <c r="AU190" s="203">
        <v>15.593220338983052</v>
      </c>
      <c r="AV190" s="204">
        <v>69.265536723163834</v>
      </c>
      <c r="AW190" s="205">
        <v>15.141242937853109</v>
      </c>
      <c r="AX190" s="123">
        <v>6.4204999999999997</v>
      </c>
      <c r="AY190" s="281">
        <v>6.9544364508393279</v>
      </c>
      <c r="AZ190" s="282">
        <v>25.41966426858513</v>
      </c>
      <c r="BA190" s="283">
        <f t="shared" si="44"/>
        <v>67.625899280575538</v>
      </c>
      <c r="BB190" s="234">
        <v>52.961672473867594</v>
      </c>
      <c r="BC190" s="20">
        <v>2010</v>
      </c>
      <c r="BD190" s="263" t="s">
        <v>556</v>
      </c>
      <c r="BE190" s="261" t="s">
        <v>556</v>
      </c>
      <c r="BF190" s="259" t="s">
        <v>556</v>
      </c>
      <c r="BG190" s="256">
        <v>76.626506024096386</v>
      </c>
      <c r="BH190" s="248" t="s">
        <v>556</v>
      </c>
      <c r="BI190" s="249">
        <v>11.406844106463879</v>
      </c>
      <c r="BJ190" s="308" t="s">
        <v>556</v>
      </c>
      <c r="BK190" s="307" t="s">
        <v>556</v>
      </c>
      <c r="BL190" s="319" t="s">
        <v>1728</v>
      </c>
      <c r="BM190" s="320" t="s">
        <v>556</v>
      </c>
      <c r="BN190" s="321" t="s">
        <v>1957</v>
      </c>
      <c r="BO190" s="145" t="s">
        <v>556</v>
      </c>
      <c r="BP190" s="14" t="s">
        <v>556</v>
      </c>
      <c r="BQ190" s="14" t="s">
        <v>557</v>
      </c>
    </row>
    <row r="191" spans="1:70" s="56" customFormat="1" ht="13.95" customHeight="1" x14ac:dyDescent="0.3">
      <c r="A191" s="56" t="s">
        <v>459</v>
      </c>
      <c r="B191" s="57" t="s">
        <v>462</v>
      </c>
      <c r="C191" s="55" t="s">
        <v>337</v>
      </c>
      <c r="D191" s="58">
        <v>1</v>
      </c>
      <c r="E191" s="59"/>
      <c r="F191" s="60" t="s">
        <v>455</v>
      </c>
      <c r="G191" s="61" t="s">
        <v>528</v>
      </c>
      <c r="H191" s="61" t="s">
        <v>528</v>
      </c>
      <c r="I191" s="62" t="s">
        <v>528</v>
      </c>
      <c r="J191" s="63" t="s">
        <v>2029</v>
      </c>
      <c r="K191" s="99" t="s">
        <v>1456</v>
      </c>
      <c r="L191" s="130">
        <v>494322039</v>
      </c>
      <c r="M191" s="109" t="s">
        <v>564</v>
      </c>
      <c r="N191" s="12" t="s">
        <v>1455</v>
      </c>
      <c r="O191" s="100"/>
      <c r="P191" s="131" t="s">
        <v>2028</v>
      </c>
      <c r="Q191" s="67"/>
      <c r="R191" s="68"/>
      <c r="S191" s="99"/>
      <c r="T191" s="112"/>
      <c r="U191" s="170">
        <f>760000+24761+254253</f>
        <v>1039014</v>
      </c>
      <c r="V191" s="48">
        <f t="shared" si="32"/>
        <v>7871.318181818182</v>
      </c>
      <c r="W191" s="171">
        <f t="shared" si="33"/>
        <v>2866.9335813008915</v>
      </c>
      <c r="X191" s="69">
        <v>2000</v>
      </c>
      <c r="Y191" s="48">
        <f t="shared" si="34"/>
        <v>15.151515151515152</v>
      </c>
      <c r="Z191" s="137">
        <f t="shared" si="35"/>
        <v>5.5185658351107714</v>
      </c>
      <c r="AA191" s="69">
        <v>0</v>
      </c>
      <c r="AB191" s="48">
        <f t="shared" si="36"/>
        <v>0</v>
      </c>
      <c r="AC191" s="137">
        <f t="shared" si="37"/>
        <v>0</v>
      </c>
      <c r="AD191" s="70">
        <f t="shared" si="38"/>
        <v>1041014</v>
      </c>
      <c r="AE191" s="71">
        <f t="shared" si="39"/>
        <v>7886.469696969697</v>
      </c>
      <c r="AF191" s="193">
        <f t="shared" si="40"/>
        <v>2872.4521471360022</v>
      </c>
      <c r="AG191" s="185">
        <f t="shared" si="41"/>
        <v>5.1471644004944375E-2</v>
      </c>
      <c r="AH191" s="180">
        <f t="shared" si="47"/>
        <v>7.5792792136876591E-2</v>
      </c>
      <c r="AI191" s="189">
        <v>132</v>
      </c>
      <c r="AJ191" s="125">
        <v>362.41300000000001</v>
      </c>
      <c r="AK191" s="149">
        <v>66</v>
      </c>
      <c r="AL191" s="221">
        <v>35</v>
      </c>
      <c r="AM191" s="216">
        <v>100</v>
      </c>
      <c r="AN191" s="213">
        <v>2.0408163265306123</v>
      </c>
      <c r="AO191" s="127">
        <v>4.0449999999999999</v>
      </c>
      <c r="AP191" s="133">
        <v>2.7469999999999999</v>
      </c>
      <c r="AQ191" s="224">
        <f t="shared" si="42"/>
        <v>1.2815533980582525</v>
      </c>
      <c r="AR191" s="158">
        <v>103</v>
      </c>
      <c r="AS191" s="229">
        <f t="shared" si="43"/>
        <v>0.52380952380952384</v>
      </c>
      <c r="AT191" s="230">
        <v>252</v>
      </c>
      <c r="AU191" s="203">
        <v>15.909090909090908</v>
      </c>
      <c r="AV191" s="204">
        <v>71.212121212121218</v>
      </c>
      <c r="AW191" s="205">
        <v>12.878787878787879</v>
      </c>
      <c r="AX191" s="123">
        <v>2.2222</v>
      </c>
      <c r="AY191" s="281">
        <v>3.6363636363636362</v>
      </c>
      <c r="AZ191" s="282">
        <v>38.181818181818187</v>
      </c>
      <c r="BA191" s="283">
        <f t="shared" si="44"/>
        <v>58.181818181818173</v>
      </c>
      <c r="BB191" s="234">
        <v>100</v>
      </c>
      <c r="BC191" s="20">
        <v>2012</v>
      </c>
      <c r="BD191" s="263" t="s">
        <v>556</v>
      </c>
      <c r="BE191" s="262" t="s">
        <v>557</v>
      </c>
      <c r="BF191" s="260" t="s">
        <v>557</v>
      </c>
      <c r="BG191" s="256">
        <v>0</v>
      </c>
      <c r="BH191" s="248" t="s">
        <v>556</v>
      </c>
      <c r="BI191" s="249">
        <v>21.008403361344538</v>
      </c>
      <c r="BJ191" s="309" t="s">
        <v>557</v>
      </c>
      <c r="BK191" s="307" t="s">
        <v>557</v>
      </c>
      <c r="BL191" s="319" t="s">
        <v>1728</v>
      </c>
      <c r="BM191" s="320" t="s">
        <v>557</v>
      </c>
      <c r="BN191" s="321" t="s">
        <v>557</v>
      </c>
      <c r="BO191" s="145" t="s">
        <v>557</v>
      </c>
      <c r="BP191" s="14" t="s">
        <v>557</v>
      </c>
      <c r="BQ191" s="14" t="s">
        <v>557</v>
      </c>
      <c r="BR191" s="3"/>
    </row>
    <row r="192" spans="1:70" s="56" customFormat="1" ht="13.95" customHeight="1" x14ac:dyDescent="0.3">
      <c r="A192" s="56" t="s">
        <v>459</v>
      </c>
      <c r="B192" s="57" t="s">
        <v>462</v>
      </c>
      <c r="C192" s="55" t="s">
        <v>338</v>
      </c>
      <c r="D192" s="58">
        <v>6</v>
      </c>
      <c r="E192" s="59" t="s">
        <v>697</v>
      </c>
      <c r="F192" s="60" t="s">
        <v>455</v>
      </c>
      <c r="G192" s="61" t="s">
        <v>528</v>
      </c>
      <c r="H192" s="61" t="s">
        <v>528</v>
      </c>
      <c r="I192" s="62" t="s">
        <v>528</v>
      </c>
      <c r="J192" s="63" t="s">
        <v>2031</v>
      </c>
      <c r="K192" s="99" t="s">
        <v>1458</v>
      </c>
      <c r="L192" s="130">
        <v>494545129</v>
      </c>
      <c r="M192" s="109" t="s">
        <v>564</v>
      </c>
      <c r="N192" s="12" t="s">
        <v>1457</v>
      </c>
      <c r="O192" s="100"/>
      <c r="P192" s="131" t="s">
        <v>2030</v>
      </c>
      <c r="Q192" s="67"/>
      <c r="R192" s="68"/>
      <c r="S192" s="99"/>
      <c r="T192" s="112"/>
      <c r="U192" s="170">
        <v>454500</v>
      </c>
      <c r="V192" s="48">
        <f t="shared" si="32"/>
        <v>640.14084507042253</v>
      </c>
      <c r="W192" s="171">
        <f t="shared" si="33"/>
        <v>84.078510348566198</v>
      </c>
      <c r="X192" s="69">
        <v>0</v>
      </c>
      <c r="Y192" s="48">
        <f t="shared" si="34"/>
        <v>0</v>
      </c>
      <c r="Z192" s="137">
        <f t="shared" si="35"/>
        <v>0</v>
      </c>
      <c r="AA192" s="69">
        <v>0</v>
      </c>
      <c r="AB192" s="48">
        <f t="shared" si="36"/>
        <v>0</v>
      </c>
      <c r="AC192" s="137">
        <f t="shared" si="37"/>
        <v>0</v>
      </c>
      <c r="AD192" s="70">
        <f t="shared" si="38"/>
        <v>454500</v>
      </c>
      <c r="AE192" s="71">
        <f t="shared" si="39"/>
        <v>640.14084507042253</v>
      </c>
      <c r="AF192" s="193">
        <f t="shared" si="40"/>
        <v>84.078510348566198</v>
      </c>
      <c r="AG192" s="185">
        <f t="shared" si="41"/>
        <v>5.8179723502304152E-3</v>
      </c>
      <c r="AH192" s="180">
        <f t="shared" si="47"/>
        <v>9.6846366929469428E-3</v>
      </c>
      <c r="AI192" s="189">
        <v>710</v>
      </c>
      <c r="AJ192" s="125">
        <v>5405.6619000000001</v>
      </c>
      <c r="AK192" s="149">
        <v>474</v>
      </c>
      <c r="AL192" s="221">
        <v>166</v>
      </c>
      <c r="AM192" s="216">
        <v>68.776371308016877</v>
      </c>
      <c r="AN192" s="213">
        <v>19.825072886297374</v>
      </c>
      <c r="AO192" s="127">
        <v>15.624000000000001</v>
      </c>
      <c r="AP192" s="133">
        <v>9.3859999999999992</v>
      </c>
      <c r="AQ192" s="224">
        <f t="shared" si="42"/>
        <v>0.98066298342541436</v>
      </c>
      <c r="AR192" s="158">
        <v>724</v>
      </c>
      <c r="AS192" s="229">
        <f t="shared" si="43"/>
        <v>0.26122148638704928</v>
      </c>
      <c r="AT192" s="230">
        <v>2718</v>
      </c>
      <c r="AU192" s="203">
        <v>16.901408450704224</v>
      </c>
      <c r="AV192" s="204">
        <v>70.422535211267615</v>
      </c>
      <c r="AW192" s="205">
        <v>12.676056338028168</v>
      </c>
      <c r="AX192" s="123">
        <v>3.6364000000000001</v>
      </c>
      <c r="AY192" s="281">
        <v>15.238095238095239</v>
      </c>
      <c r="AZ192" s="282">
        <v>39.682539682539684</v>
      </c>
      <c r="BA192" s="283">
        <f t="shared" si="44"/>
        <v>45.079365079365076</v>
      </c>
      <c r="BB192" s="234">
        <v>94.915254237288138</v>
      </c>
      <c r="BC192" s="20">
        <v>2011</v>
      </c>
      <c r="BD192" s="263" t="s">
        <v>556</v>
      </c>
      <c r="BE192" s="261" t="s">
        <v>556</v>
      </c>
      <c r="BF192" s="259" t="s">
        <v>556</v>
      </c>
      <c r="BG192" s="256">
        <v>24.121405750798722</v>
      </c>
      <c r="BH192" s="254" t="s">
        <v>557</v>
      </c>
      <c r="BI192" s="249">
        <v>0</v>
      </c>
      <c r="BJ192" s="308" t="s">
        <v>556</v>
      </c>
      <c r="BK192" s="307" t="s">
        <v>557</v>
      </c>
      <c r="BL192" s="319" t="s">
        <v>1728</v>
      </c>
      <c r="BM192" s="320" t="s">
        <v>556</v>
      </c>
      <c r="BN192" s="321" t="s">
        <v>2007</v>
      </c>
      <c r="BO192" s="145" t="s">
        <v>556</v>
      </c>
      <c r="BP192" s="14">
        <v>2</v>
      </c>
      <c r="BQ192" s="14" t="s">
        <v>557</v>
      </c>
    </row>
    <row r="193" spans="1:70" s="56" customFormat="1" ht="13.95" customHeight="1" x14ac:dyDescent="0.3">
      <c r="A193" s="3" t="s">
        <v>459</v>
      </c>
      <c r="B193" s="57" t="s">
        <v>462</v>
      </c>
      <c r="C193" s="55" t="s">
        <v>259</v>
      </c>
      <c r="D193" s="58">
        <v>1</v>
      </c>
      <c r="E193" s="59"/>
      <c r="F193" s="60" t="s">
        <v>454</v>
      </c>
      <c r="G193" s="61" t="s">
        <v>526</v>
      </c>
      <c r="H193" s="61" t="s">
        <v>526</v>
      </c>
      <c r="I193" s="62" t="s">
        <v>526</v>
      </c>
      <c r="J193" s="117" t="s">
        <v>2026</v>
      </c>
      <c r="K193" s="143" t="s">
        <v>2032</v>
      </c>
      <c r="L193" s="131">
        <v>733129845</v>
      </c>
      <c r="M193" s="109" t="s">
        <v>564</v>
      </c>
      <c r="N193" s="12" t="s">
        <v>1309</v>
      </c>
      <c r="O193" s="100"/>
      <c r="P193" s="131">
        <v>731421258</v>
      </c>
      <c r="Q193" s="67"/>
      <c r="R193" s="12"/>
      <c r="S193" s="100"/>
      <c r="T193" s="66"/>
      <c r="U193" s="170">
        <v>0</v>
      </c>
      <c r="V193" s="48">
        <f t="shared" si="32"/>
        <v>0</v>
      </c>
      <c r="W193" s="171">
        <f t="shared" si="33"/>
        <v>0</v>
      </c>
      <c r="X193" s="69">
        <v>0</v>
      </c>
      <c r="Y193" s="48">
        <f t="shared" si="34"/>
        <v>0</v>
      </c>
      <c r="Z193" s="137">
        <f t="shared" si="35"/>
        <v>0</v>
      </c>
      <c r="AA193" s="69">
        <v>0</v>
      </c>
      <c r="AB193" s="48">
        <f t="shared" si="36"/>
        <v>0</v>
      </c>
      <c r="AC193" s="137">
        <f t="shared" si="37"/>
        <v>0</v>
      </c>
      <c r="AD193" s="70">
        <f t="shared" si="38"/>
        <v>0</v>
      </c>
      <c r="AE193" s="71">
        <f t="shared" si="39"/>
        <v>0</v>
      </c>
      <c r="AF193" s="193">
        <f t="shared" si="40"/>
        <v>0</v>
      </c>
      <c r="AG193" s="185">
        <f t="shared" si="41"/>
        <v>0</v>
      </c>
      <c r="AH193" s="180">
        <f t="shared" si="47"/>
        <v>0</v>
      </c>
      <c r="AI193" s="189">
        <v>68</v>
      </c>
      <c r="AJ193" s="125">
        <v>119.241</v>
      </c>
      <c r="AK193" s="149">
        <v>53</v>
      </c>
      <c r="AL193" s="221">
        <v>24</v>
      </c>
      <c r="AM193" s="216">
        <v>100</v>
      </c>
      <c r="AN193" s="213">
        <v>41.509433962264147</v>
      </c>
      <c r="AO193" s="127">
        <v>0.54300000000000004</v>
      </c>
      <c r="AP193" s="133">
        <v>6.9000000000000006E-2</v>
      </c>
      <c r="AQ193" s="224">
        <f t="shared" si="42"/>
        <v>0.95774647887323938</v>
      </c>
      <c r="AR193" s="158">
        <v>71</v>
      </c>
      <c r="AS193" s="229">
        <f t="shared" si="43"/>
        <v>0.30630630630630629</v>
      </c>
      <c r="AT193" s="230">
        <v>222</v>
      </c>
      <c r="AU193" s="203">
        <v>20.588235294117645</v>
      </c>
      <c r="AV193" s="204">
        <v>61.764705882352935</v>
      </c>
      <c r="AW193" s="205">
        <v>17.647058823529413</v>
      </c>
      <c r="AX193" s="123">
        <v>4.4443999999999999</v>
      </c>
      <c r="AY193" s="281">
        <v>18.181818181818183</v>
      </c>
      <c r="AZ193" s="282">
        <v>59.090909090909093</v>
      </c>
      <c r="BA193" s="283">
        <f t="shared" si="44"/>
        <v>22.72727272727272</v>
      </c>
      <c r="BB193" s="234">
        <v>100</v>
      </c>
      <c r="BC193" s="19">
        <v>2009</v>
      </c>
      <c r="BD193" s="263" t="s">
        <v>556</v>
      </c>
      <c r="BE193" s="262" t="s">
        <v>557</v>
      </c>
      <c r="BF193" s="260" t="s">
        <v>557</v>
      </c>
      <c r="BG193" s="256">
        <v>0</v>
      </c>
      <c r="BH193" s="254" t="s">
        <v>557</v>
      </c>
      <c r="BI193" s="249">
        <v>0</v>
      </c>
      <c r="BJ193" s="309" t="s">
        <v>557</v>
      </c>
      <c r="BK193" s="307" t="s">
        <v>557</v>
      </c>
      <c r="BL193" s="319" t="s">
        <v>1728</v>
      </c>
      <c r="BM193" s="320" t="s">
        <v>557</v>
      </c>
      <c r="BN193" s="321" t="s">
        <v>1803</v>
      </c>
      <c r="BO193" s="21" t="s">
        <v>557</v>
      </c>
      <c r="BP193" s="10" t="s">
        <v>557</v>
      </c>
      <c r="BQ193" s="10" t="s">
        <v>557</v>
      </c>
      <c r="BR193" s="80"/>
    </row>
    <row r="194" spans="1:70" s="56" customFormat="1" ht="13.95" customHeight="1" x14ac:dyDescent="0.3">
      <c r="A194" s="56" t="s">
        <v>459</v>
      </c>
      <c r="B194" s="57" t="s">
        <v>462</v>
      </c>
      <c r="C194" s="55" t="s">
        <v>423</v>
      </c>
      <c r="D194" s="58">
        <v>1</v>
      </c>
      <c r="E194" s="59"/>
      <c r="F194" s="60" t="s">
        <v>456</v>
      </c>
      <c r="G194" s="61" t="s">
        <v>378</v>
      </c>
      <c r="H194" s="61" t="s">
        <v>379</v>
      </c>
      <c r="I194" s="62" t="s">
        <v>379</v>
      </c>
      <c r="J194" s="63" t="s">
        <v>2033</v>
      </c>
      <c r="K194" s="101" t="s">
        <v>1610</v>
      </c>
      <c r="L194" s="130">
        <v>499781585</v>
      </c>
      <c r="M194" s="109" t="s">
        <v>564</v>
      </c>
      <c r="N194" s="12" t="s">
        <v>1609</v>
      </c>
      <c r="O194" s="100"/>
      <c r="P194" s="131">
        <v>602187891</v>
      </c>
      <c r="Q194" s="84"/>
      <c r="R194" s="3"/>
      <c r="S194" s="2"/>
      <c r="T194" s="112"/>
      <c r="U194" s="170">
        <f>103000+176563</f>
        <v>279563</v>
      </c>
      <c r="V194" s="48">
        <f t="shared" si="32"/>
        <v>774.41274238227152</v>
      </c>
      <c r="W194" s="171">
        <f t="shared" si="33"/>
        <v>479.94752153955136</v>
      </c>
      <c r="X194" s="69">
        <v>0</v>
      </c>
      <c r="Y194" s="48">
        <f t="shared" si="34"/>
        <v>0</v>
      </c>
      <c r="Z194" s="137">
        <f t="shared" si="35"/>
        <v>0</v>
      </c>
      <c r="AA194" s="69">
        <v>0</v>
      </c>
      <c r="AB194" s="48">
        <f t="shared" si="36"/>
        <v>0</v>
      </c>
      <c r="AC194" s="137">
        <f t="shared" si="37"/>
        <v>0</v>
      </c>
      <c r="AD194" s="70">
        <f t="shared" si="38"/>
        <v>279563</v>
      </c>
      <c r="AE194" s="71">
        <f t="shared" si="39"/>
        <v>774.41274238227152</v>
      </c>
      <c r="AF194" s="193">
        <f t="shared" si="40"/>
        <v>479.94752153955136</v>
      </c>
      <c r="AG194" s="185">
        <f t="shared" si="41"/>
        <v>1.5458280342825545E-2</v>
      </c>
      <c r="AH194" s="180">
        <f t="shared" si="47"/>
        <v>0.10221681901279707</v>
      </c>
      <c r="AI194" s="189">
        <v>361</v>
      </c>
      <c r="AJ194" s="125">
        <v>582.48659999999995</v>
      </c>
      <c r="AK194" s="149">
        <v>216</v>
      </c>
      <c r="AL194" s="221">
        <v>113</v>
      </c>
      <c r="AM194" s="216">
        <v>96.992481203007515</v>
      </c>
      <c r="AN194" s="213">
        <v>29.411764705882351</v>
      </c>
      <c r="AO194" s="127">
        <v>3.617</v>
      </c>
      <c r="AP194" s="133">
        <v>0.54700000000000004</v>
      </c>
      <c r="AQ194" s="224">
        <f t="shared" si="42"/>
        <v>0.96266666666666667</v>
      </c>
      <c r="AR194" s="158">
        <v>375</v>
      </c>
      <c r="AS194" s="229">
        <f t="shared" si="43"/>
        <v>0.56494522691705795</v>
      </c>
      <c r="AT194" s="230">
        <v>639</v>
      </c>
      <c r="AU194" s="203">
        <v>12.18836565096953</v>
      </c>
      <c r="AV194" s="204">
        <v>66.7590027700831</v>
      </c>
      <c r="AW194" s="205">
        <v>21.052631578947366</v>
      </c>
      <c r="AX194" s="123">
        <v>6.25</v>
      </c>
      <c r="AY194" s="281">
        <v>5.5555555555555554</v>
      </c>
      <c r="AZ194" s="282">
        <v>42.592592592592595</v>
      </c>
      <c r="BA194" s="283">
        <f t="shared" si="44"/>
        <v>51.851851851851848</v>
      </c>
      <c r="BB194" s="234">
        <v>88.311688311688314</v>
      </c>
      <c r="BC194" s="19">
        <v>2010</v>
      </c>
      <c r="BD194" s="263" t="s">
        <v>556</v>
      </c>
      <c r="BE194" s="262" t="s">
        <v>557</v>
      </c>
      <c r="BF194" s="260" t="s">
        <v>557</v>
      </c>
      <c r="BG194" s="256">
        <v>0</v>
      </c>
      <c r="BH194" s="254" t="s">
        <v>557</v>
      </c>
      <c r="BI194" s="249">
        <v>0</v>
      </c>
      <c r="BJ194" s="308" t="s">
        <v>556</v>
      </c>
      <c r="BK194" s="307" t="s">
        <v>557</v>
      </c>
      <c r="BL194" s="319" t="s">
        <v>1728</v>
      </c>
      <c r="BM194" s="320" t="s">
        <v>556</v>
      </c>
      <c r="BN194" s="321" t="s">
        <v>1838</v>
      </c>
      <c r="BO194" s="21" t="s">
        <v>556</v>
      </c>
      <c r="BP194" s="10" t="s">
        <v>557</v>
      </c>
      <c r="BQ194" s="10" t="s">
        <v>557</v>
      </c>
      <c r="BR194" s="72"/>
    </row>
    <row r="195" spans="1:70" s="56" customFormat="1" ht="13.95" customHeight="1" x14ac:dyDescent="0.3">
      <c r="A195" s="56" t="s">
        <v>459</v>
      </c>
      <c r="B195" s="57" t="s">
        <v>462</v>
      </c>
      <c r="C195" s="55" t="s">
        <v>51</v>
      </c>
      <c r="D195" s="58">
        <v>3</v>
      </c>
      <c r="E195" s="59" t="s">
        <v>479</v>
      </c>
      <c r="F195" s="60" t="s">
        <v>452</v>
      </c>
      <c r="G195" s="61" t="s">
        <v>11</v>
      </c>
      <c r="H195" s="61" t="s">
        <v>11</v>
      </c>
      <c r="I195" s="62" t="s">
        <v>17</v>
      </c>
      <c r="J195" s="63" t="s">
        <v>2036</v>
      </c>
      <c r="K195" s="99" t="s">
        <v>2035</v>
      </c>
      <c r="L195" s="130">
        <v>495431065</v>
      </c>
      <c r="M195" s="109" t="s">
        <v>564</v>
      </c>
      <c r="N195" s="12" t="s">
        <v>867</v>
      </c>
      <c r="O195" s="100" t="s">
        <v>866</v>
      </c>
      <c r="P195" s="131">
        <v>603220100</v>
      </c>
      <c r="Q195" s="67"/>
      <c r="R195" s="68"/>
      <c r="S195" s="99"/>
      <c r="T195" s="65"/>
      <c r="U195" s="170">
        <v>0</v>
      </c>
      <c r="V195" s="48">
        <f t="shared" si="32"/>
        <v>0</v>
      </c>
      <c r="W195" s="171">
        <f t="shared" si="33"/>
        <v>0</v>
      </c>
      <c r="X195" s="69">
        <v>0</v>
      </c>
      <c r="Y195" s="48">
        <f t="shared" si="34"/>
        <v>0</v>
      </c>
      <c r="Z195" s="137">
        <f t="shared" si="35"/>
        <v>0</v>
      </c>
      <c r="AA195" s="69">
        <v>0</v>
      </c>
      <c r="AB195" s="48">
        <f t="shared" si="36"/>
        <v>0</v>
      </c>
      <c r="AC195" s="137">
        <f t="shared" si="37"/>
        <v>0</v>
      </c>
      <c r="AD195" s="70">
        <f t="shared" si="38"/>
        <v>0</v>
      </c>
      <c r="AE195" s="71">
        <f t="shared" si="39"/>
        <v>0</v>
      </c>
      <c r="AF195" s="193">
        <f t="shared" si="40"/>
        <v>0</v>
      </c>
      <c r="AG195" s="185">
        <f t="shared" si="41"/>
        <v>0</v>
      </c>
      <c r="AH195" s="180">
        <f t="shared" si="47"/>
        <v>0</v>
      </c>
      <c r="AI195" s="189">
        <v>157</v>
      </c>
      <c r="AJ195" s="125">
        <v>321.43259999999998</v>
      </c>
      <c r="AK195" s="149">
        <v>86</v>
      </c>
      <c r="AL195" s="221">
        <v>51</v>
      </c>
      <c r="AM195" s="216">
        <v>100</v>
      </c>
      <c r="AN195" s="213">
        <v>18.279569892473116</v>
      </c>
      <c r="AO195" s="127">
        <v>1.135</v>
      </c>
      <c r="AP195" s="133">
        <v>0.05</v>
      </c>
      <c r="AQ195" s="224">
        <f t="shared" si="42"/>
        <v>1.1984732824427482</v>
      </c>
      <c r="AR195" s="158">
        <v>131</v>
      </c>
      <c r="AS195" s="229">
        <f t="shared" si="43"/>
        <v>0.57933579335793361</v>
      </c>
      <c r="AT195" s="230">
        <v>271</v>
      </c>
      <c r="AU195" s="203">
        <v>17.197452229299362</v>
      </c>
      <c r="AV195" s="204">
        <v>62.420382165605098</v>
      </c>
      <c r="AW195" s="205">
        <v>20.382165605095544</v>
      </c>
      <c r="AX195" s="123">
        <v>7.0707000000000004</v>
      </c>
      <c r="AY195" s="281">
        <v>6.756756756756757</v>
      </c>
      <c r="AZ195" s="282">
        <v>25.675675675675674</v>
      </c>
      <c r="BA195" s="283">
        <f t="shared" si="44"/>
        <v>67.567567567567565</v>
      </c>
      <c r="BB195" s="234">
        <v>95.348837209302332</v>
      </c>
      <c r="BC195" s="20">
        <v>2015</v>
      </c>
      <c r="BD195" s="263" t="s">
        <v>556</v>
      </c>
      <c r="BE195" s="261" t="s">
        <v>556</v>
      </c>
      <c r="BF195" s="260" t="s">
        <v>557</v>
      </c>
      <c r="BG195" s="256">
        <v>2.5974025974025974</v>
      </c>
      <c r="BH195" s="248" t="s">
        <v>556</v>
      </c>
      <c r="BI195" s="249">
        <v>59.090909090909093</v>
      </c>
      <c r="BJ195" s="309" t="s">
        <v>557</v>
      </c>
      <c r="BK195" s="307" t="s">
        <v>557</v>
      </c>
      <c r="BL195" s="319" t="s">
        <v>1728</v>
      </c>
      <c r="BM195" s="320" t="s">
        <v>556</v>
      </c>
      <c r="BN195" s="321" t="s">
        <v>1838</v>
      </c>
      <c r="BO195" s="145" t="s">
        <v>557</v>
      </c>
      <c r="BP195" s="14" t="s">
        <v>557</v>
      </c>
      <c r="BQ195" s="14" t="s">
        <v>557</v>
      </c>
    </row>
    <row r="196" spans="1:70" s="56" customFormat="1" ht="13.95" customHeight="1" x14ac:dyDescent="0.3">
      <c r="A196" s="56" t="s">
        <v>459</v>
      </c>
      <c r="B196" s="57" t="s">
        <v>462</v>
      </c>
      <c r="C196" s="55" t="s">
        <v>158</v>
      </c>
      <c r="D196" s="58">
        <v>9</v>
      </c>
      <c r="E196" s="59" t="s">
        <v>587</v>
      </c>
      <c r="F196" s="60" t="s">
        <v>453</v>
      </c>
      <c r="G196" s="61" t="s">
        <v>113</v>
      </c>
      <c r="H196" s="61" t="s">
        <v>159</v>
      </c>
      <c r="I196" s="62" t="s">
        <v>159</v>
      </c>
      <c r="J196" s="63" t="s">
        <v>2037</v>
      </c>
      <c r="K196" s="99" t="s">
        <v>1093</v>
      </c>
      <c r="L196" s="130">
        <v>493571121</v>
      </c>
      <c r="M196" s="109" t="s">
        <v>564</v>
      </c>
      <c r="N196" s="12" t="s">
        <v>1092</v>
      </c>
      <c r="O196" s="100"/>
      <c r="P196" s="131">
        <v>724180058</v>
      </c>
      <c r="Q196" s="67"/>
      <c r="R196" s="68"/>
      <c r="S196" s="99"/>
      <c r="T196" s="65"/>
      <c r="U196" s="170">
        <v>241622</v>
      </c>
      <c r="V196" s="48">
        <f t="shared" si="32"/>
        <v>476.57199211045366</v>
      </c>
      <c r="W196" s="171">
        <f t="shared" si="33"/>
        <v>121.86718634388656</v>
      </c>
      <c r="X196" s="69">
        <v>0</v>
      </c>
      <c r="Y196" s="48">
        <f t="shared" si="34"/>
        <v>0</v>
      </c>
      <c r="Z196" s="137">
        <f t="shared" si="35"/>
        <v>0</v>
      </c>
      <c r="AA196" s="69">
        <v>0</v>
      </c>
      <c r="AB196" s="48">
        <f t="shared" si="36"/>
        <v>0</v>
      </c>
      <c r="AC196" s="137">
        <f t="shared" si="37"/>
        <v>0</v>
      </c>
      <c r="AD196" s="70">
        <f t="shared" si="38"/>
        <v>241622</v>
      </c>
      <c r="AE196" s="71">
        <f t="shared" si="39"/>
        <v>476.57199211045366</v>
      </c>
      <c r="AF196" s="193">
        <f t="shared" si="40"/>
        <v>121.86718634388656</v>
      </c>
      <c r="AG196" s="185">
        <f t="shared" si="41"/>
        <v>9.5352012628255739E-3</v>
      </c>
      <c r="AH196" s="180">
        <f t="shared" si="47"/>
        <v>0.12886506666666667</v>
      </c>
      <c r="AI196" s="189">
        <v>507</v>
      </c>
      <c r="AJ196" s="125">
        <v>1982.6666</v>
      </c>
      <c r="AK196" s="149">
        <v>438</v>
      </c>
      <c r="AL196" s="221">
        <v>165</v>
      </c>
      <c r="AM196" s="216">
        <v>92.631578947368425</v>
      </c>
      <c r="AN196" s="213">
        <v>4.8433048433048427</v>
      </c>
      <c r="AO196" s="127">
        <v>5.0679999999999996</v>
      </c>
      <c r="AP196" s="133">
        <v>0.375</v>
      </c>
      <c r="AQ196" s="224">
        <f t="shared" si="42"/>
        <v>1.0856531049250535</v>
      </c>
      <c r="AR196" s="158">
        <v>467</v>
      </c>
      <c r="AS196" s="229">
        <f t="shared" si="43"/>
        <v>0.36685962373371922</v>
      </c>
      <c r="AT196" s="230">
        <v>1382</v>
      </c>
      <c r="AU196" s="203">
        <v>15.779092702169626</v>
      </c>
      <c r="AV196" s="204">
        <v>62.919132149901387</v>
      </c>
      <c r="AW196" s="205">
        <v>21.301775147928996</v>
      </c>
      <c r="AX196" s="123">
        <v>3.5032000000000001</v>
      </c>
      <c r="AY196" s="281">
        <v>12.5</v>
      </c>
      <c r="AZ196" s="282">
        <v>35.185185185185183</v>
      </c>
      <c r="BA196" s="283">
        <f t="shared" si="44"/>
        <v>52.314814814814817</v>
      </c>
      <c r="BB196" s="234">
        <v>82.758620689655174</v>
      </c>
      <c r="BC196" s="20">
        <v>2004</v>
      </c>
      <c r="BD196" s="263" t="s">
        <v>556</v>
      </c>
      <c r="BE196" s="261" t="s">
        <v>556</v>
      </c>
      <c r="BF196" s="260" t="s">
        <v>557</v>
      </c>
      <c r="BG196" s="256">
        <v>22.004357298474943</v>
      </c>
      <c r="BH196" s="254" t="s">
        <v>557</v>
      </c>
      <c r="BI196" s="249">
        <v>0</v>
      </c>
      <c r="BJ196" s="308" t="s">
        <v>556</v>
      </c>
      <c r="BK196" s="307" t="s">
        <v>557</v>
      </c>
      <c r="BL196" s="319" t="s">
        <v>1728</v>
      </c>
      <c r="BM196" s="320" t="s">
        <v>556</v>
      </c>
      <c r="BN196" s="321" t="s">
        <v>1957</v>
      </c>
      <c r="BO196" s="145" t="s">
        <v>556</v>
      </c>
      <c r="BP196" s="14">
        <v>3</v>
      </c>
      <c r="BQ196" s="14" t="s">
        <v>556</v>
      </c>
    </row>
    <row r="197" spans="1:70" s="56" customFormat="1" ht="13.95" customHeight="1" x14ac:dyDescent="0.3">
      <c r="A197" s="56" t="s">
        <v>459</v>
      </c>
      <c r="B197" s="57" t="s">
        <v>462</v>
      </c>
      <c r="C197" s="55" t="s">
        <v>424</v>
      </c>
      <c r="D197" s="58">
        <v>1</v>
      </c>
      <c r="E197" s="59"/>
      <c r="F197" s="60" t="s">
        <v>456</v>
      </c>
      <c r="G197" s="61" t="s">
        <v>531</v>
      </c>
      <c r="H197" s="61" t="s">
        <v>531</v>
      </c>
      <c r="I197" s="62" t="s">
        <v>531</v>
      </c>
      <c r="J197" s="63" t="s">
        <v>2034</v>
      </c>
      <c r="K197" s="101" t="s">
        <v>1612</v>
      </c>
      <c r="L197" s="130">
        <v>499694152</v>
      </c>
      <c r="M197" s="109" t="s">
        <v>564</v>
      </c>
      <c r="N197" s="12" t="s">
        <v>1611</v>
      </c>
      <c r="O197" s="100"/>
      <c r="P197" s="131">
        <v>728993219</v>
      </c>
      <c r="Q197" s="82"/>
      <c r="R197" s="80"/>
      <c r="S197" s="116"/>
      <c r="T197" s="112"/>
      <c r="U197" s="170">
        <v>0</v>
      </c>
      <c r="V197" s="48">
        <f t="shared" si="32"/>
        <v>0</v>
      </c>
      <c r="W197" s="171">
        <f t="shared" si="33"/>
        <v>0</v>
      </c>
      <c r="X197" s="69">
        <v>15600</v>
      </c>
      <c r="Y197" s="48">
        <f t="shared" si="34"/>
        <v>84.782608695652172</v>
      </c>
      <c r="Z197" s="137">
        <f t="shared" si="35"/>
        <v>36.714443297248842</v>
      </c>
      <c r="AA197" s="69">
        <v>0</v>
      </c>
      <c r="AB197" s="48">
        <f t="shared" si="36"/>
        <v>0</v>
      </c>
      <c r="AC197" s="137">
        <f t="shared" si="37"/>
        <v>0</v>
      </c>
      <c r="AD197" s="70">
        <f t="shared" si="38"/>
        <v>15600</v>
      </c>
      <c r="AE197" s="71">
        <f t="shared" si="39"/>
        <v>84.782608695652172</v>
      </c>
      <c r="AF197" s="193">
        <f t="shared" si="40"/>
        <v>36.714443297248842</v>
      </c>
      <c r="AG197" s="185">
        <f t="shared" si="41"/>
        <v>1.3181242078580482E-3</v>
      </c>
      <c r="AH197" s="180">
        <f t="shared" si="47"/>
        <v>4.0519480519480518E-2</v>
      </c>
      <c r="AI197" s="189">
        <v>184</v>
      </c>
      <c r="AJ197" s="125">
        <v>424.90089999999998</v>
      </c>
      <c r="AK197" s="149">
        <v>73</v>
      </c>
      <c r="AL197" s="221">
        <v>53</v>
      </c>
      <c r="AM197" s="216">
        <v>100</v>
      </c>
      <c r="AN197" s="213">
        <v>5.7142857142857144</v>
      </c>
      <c r="AO197" s="127">
        <v>2.367</v>
      </c>
      <c r="AP197" s="133">
        <v>7.6999999999999999E-2</v>
      </c>
      <c r="AQ197" s="224">
        <f t="shared" si="42"/>
        <v>1.1428571428571428</v>
      </c>
      <c r="AR197" s="158">
        <v>161</v>
      </c>
      <c r="AS197" s="229">
        <f t="shared" si="43"/>
        <v>0.49729729729729732</v>
      </c>
      <c r="AT197" s="230">
        <v>370</v>
      </c>
      <c r="AU197" s="203">
        <v>14.130434782608695</v>
      </c>
      <c r="AV197" s="204">
        <v>64.673913043478265</v>
      </c>
      <c r="AW197" s="205">
        <v>21.195652173913043</v>
      </c>
      <c r="AX197" s="123">
        <v>7.1429</v>
      </c>
      <c r="AY197" s="281">
        <v>6.8493150684931505</v>
      </c>
      <c r="AZ197" s="282">
        <v>31.506849315068493</v>
      </c>
      <c r="BA197" s="283">
        <f t="shared" si="44"/>
        <v>61.643835616438352</v>
      </c>
      <c r="BB197" s="234">
        <v>81.818181818181813</v>
      </c>
      <c r="BC197" s="19">
        <v>2006</v>
      </c>
      <c r="BD197" s="263" t="s">
        <v>556</v>
      </c>
      <c r="BE197" s="261" t="s">
        <v>556</v>
      </c>
      <c r="BF197" s="260" t="s">
        <v>557</v>
      </c>
      <c r="BG197" s="256">
        <v>2.9239766081871341</v>
      </c>
      <c r="BH197" s="254" t="s">
        <v>557</v>
      </c>
      <c r="BI197" s="249">
        <v>0</v>
      </c>
      <c r="BJ197" s="308" t="s">
        <v>556</v>
      </c>
      <c r="BK197" s="307" t="s">
        <v>557</v>
      </c>
      <c r="BL197" s="319" t="s">
        <v>1728</v>
      </c>
      <c r="BM197" s="320" t="s">
        <v>557</v>
      </c>
      <c r="BN197" s="321" t="s">
        <v>1767</v>
      </c>
      <c r="BO197" s="145" t="s">
        <v>557</v>
      </c>
      <c r="BP197" s="10" t="s">
        <v>557</v>
      </c>
      <c r="BQ197" s="10" t="s">
        <v>557</v>
      </c>
    </row>
    <row r="198" spans="1:70" s="56" customFormat="1" ht="13.95" customHeight="1" x14ac:dyDescent="0.3">
      <c r="A198" s="56" t="s">
        <v>459</v>
      </c>
      <c r="B198" s="57" t="s">
        <v>462</v>
      </c>
      <c r="C198" s="55" t="s">
        <v>52</v>
      </c>
      <c r="D198" s="58">
        <v>1</v>
      </c>
      <c r="E198" s="59"/>
      <c r="F198" s="60" t="s">
        <v>452</v>
      </c>
      <c r="G198" s="61" t="s">
        <v>11</v>
      </c>
      <c r="H198" s="61" t="s">
        <v>11</v>
      </c>
      <c r="I198" s="62" t="s">
        <v>17</v>
      </c>
      <c r="J198" s="63" t="s">
        <v>2038</v>
      </c>
      <c r="K198" s="99" t="s">
        <v>868</v>
      </c>
      <c r="L198" s="130">
        <v>495431905</v>
      </c>
      <c r="M198" s="109" t="s">
        <v>537</v>
      </c>
      <c r="N198" s="12" t="s">
        <v>869</v>
      </c>
      <c r="O198" s="100"/>
      <c r="P198" s="131"/>
      <c r="Q198" s="67"/>
      <c r="R198" s="68"/>
      <c r="S198" s="99"/>
      <c r="T198" s="65"/>
      <c r="U198" s="170">
        <f>760000+272929</f>
        <v>1032929</v>
      </c>
      <c r="V198" s="48">
        <f t="shared" ref="V198:V261" si="48">IF(U198=0,0,U198/AI198)</f>
        <v>1902.2633517495397</v>
      </c>
      <c r="W198" s="171">
        <f t="shared" ref="W198:W261" si="49">IF(U198=0,0,U198/AJ198)</f>
        <v>1584.1932351679491</v>
      </c>
      <c r="X198" s="69">
        <v>0</v>
      </c>
      <c r="Y198" s="48">
        <f t="shared" ref="Y198:Y261" si="50">IF(X198=0,0,X198/AI198)</f>
        <v>0</v>
      </c>
      <c r="Z198" s="137">
        <f t="shared" ref="Z198:Z261" si="51">IF(X198=0,0,X198/AJ198)</f>
        <v>0</v>
      </c>
      <c r="AA198" s="69">
        <v>1000000</v>
      </c>
      <c r="AB198" s="48">
        <f t="shared" ref="AB198:AB261" si="52">IF(AA198=0,0,AA198/AI198)</f>
        <v>1841.6206261510129</v>
      </c>
      <c r="AC198" s="137">
        <f t="shared" ref="AC198:AC261" si="53">IF(AA198=0,0,AA198/AJ198)</f>
        <v>1533.6903457720221</v>
      </c>
      <c r="AD198" s="70">
        <f t="shared" ref="AD198:AD261" si="54">IF(U198+X198+AA198=0,0,U198+X198+AA198)</f>
        <v>2032929</v>
      </c>
      <c r="AE198" s="71">
        <f t="shared" ref="AE198:AE261" si="55">IF(AD198=0,0,AD198/AI198)</f>
        <v>3743.8839779005525</v>
      </c>
      <c r="AF198" s="193">
        <f t="shared" ref="AF198:AF261" si="56">IF(AD198=0,0,AD198/AJ198)</f>
        <v>3117.8835809399711</v>
      </c>
      <c r="AG198" s="185">
        <f t="shared" ref="AG198:AG261" si="57">IF(AD198=0,0,1/(AO198*5000000/AD198))</f>
        <v>6.1371441509433959E-2</v>
      </c>
      <c r="AH198" s="180">
        <f t="shared" si="47"/>
        <v>0.12915686149936467</v>
      </c>
      <c r="AI198" s="189">
        <v>543</v>
      </c>
      <c r="AJ198" s="125">
        <v>652.02210000000002</v>
      </c>
      <c r="AK198" s="149">
        <v>221</v>
      </c>
      <c r="AL198" s="221">
        <v>154</v>
      </c>
      <c r="AM198" s="216">
        <v>94.705882352941174</v>
      </c>
      <c r="AN198" s="213">
        <v>5.1401869158878508</v>
      </c>
      <c r="AO198" s="127">
        <v>6.625</v>
      </c>
      <c r="AP198" s="133">
        <v>3.1480000000000001</v>
      </c>
      <c r="AQ198" s="224">
        <f t="shared" ref="AQ198:AQ261" si="58">AI198/AR198</f>
        <v>1.5041551246537397</v>
      </c>
      <c r="AR198" s="158">
        <v>361</v>
      </c>
      <c r="AS198" s="229">
        <f t="shared" ref="AS198:AS261" si="59">AI198/AT198</f>
        <v>0.9126050420168067</v>
      </c>
      <c r="AT198" s="230">
        <v>595</v>
      </c>
      <c r="AU198" s="203">
        <v>17.311233885819522</v>
      </c>
      <c r="AV198" s="204">
        <v>71.639042357274406</v>
      </c>
      <c r="AW198" s="205">
        <v>11.049723756906078</v>
      </c>
      <c r="AX198" s="123">
        <v>4.3367000000000004</v>
      </c>
      <c r="AY198" s="281">
        <v>1.6666666666666667</v>
      </c>
      <c r="AZ198" s="282">
        <v>32.916666666666664</v>
      </c>
      <c r="BA198" s="283">
        <f t="shared" ref="BA198:BA261" si="60">100-AY198-AZ198</f>
        <v>65.416666666666657</v>
      </c>
      <c r="BB198" s="234">
        <v>89.682539682539684</v>
      </c>
      <c r="BC198" s="20">
        <v>2004</v>
      </c>
      <c r="BD198" s="263" t="s">
        <v>556</v>
      </c>
      <c r="BE198" s="261" t="s">
        <v>556</v>
      </c>
      <c r="BF198" s="260" t="s">
        <v>557</v>
      </c>
      <c r="BG198" s="256">
        <v>13.473684210526315</v>
      </c>
      <c r="BH198" s="248" t="s">
        <v>556</v>
      </c>
      <c r="BI198" s="249">
        <v>43.902439024390247</v>
      </c>
      <c r="BJ198" s="308" t="s">
        <v>556</v>
      </c>
      <c r="BK198" s="307" t="s">
        <v>750</v>
      </c>
      <c r="BL198" s="319" t="s">
        <v>1728</v>
      </c>
      <c r="BM198" s="320" t="s">
        <v>556</v>
      </c>
      <c r="BN198" s="321" t="s">
        <v>1996</v>
      </c>
      <c r="BO198" s="145" t="s">
        <v>557</v>
      </c>
      <c r="BP198" s="14" t="s">
        <v>557</v>
      </c>
      <c r="BQ198" s="14" t="s">
        <v>557</v>
      </c>
    </row>
    <row r="199" spans="1:70" s="56" customFormat="1" ht="13.95" customHeight="1" x14ac:dyDescent="0.3">
      <c r="A199" s="56" t="s">
        <v>459</v>
      </c>
      <c r="B199" s="57" t="s">
        <v>462</v>
      </c>
      <c r="C199" s="55" t="s">
        <v>53</v>
      </c>
      <c r="D199" s="58">
        <v>1</v>
      </c>
      <c r="E199" s="59"/>
      <c r="F199" s="60" t="s">
        <v>452</v>
      </c>
      <c r="G199" s="61" t="s">
        <v>11</v>
      </c>
      <c r="H199" s="61" t="s">
        <v>11</v>
      </c>
      <c r="I199" s="62" t="s">
        <v>17</v>
      </c>
      <c r="J199" s="63" t="s">
        <v>2040</v>
      </c>
      <c r="K199" s="99" t="s">
        <v>870</v>
      </c>
      <c r="L199" s="130">
        <v>495431002</v>
      </c>
      <c r="M199" s="109" t="s">
        <v>537</v>
      </c>
      <c r="N199" s="12" t="s">
        <v>871</v>
      </c>
      <c r="O199" s="100"/>
      <c r="P199" s="131">
        <v>723245831</v>
      </c>
      <c r="Q199" s="67"/>
      <c r="R199" s="68"/>
      <c r="S199" s="99"/>
      <c r="T199" s="65"/>
      <c r="U199" s="170">
        <v>67000</v>
      </c>
      <c r="V199" s="48">
        <f t="shared" si="48"/>
        <v>230.2405498281787</v>
      </c>
      <c r="W199" s="171">
        <f t="shared" si="49"/>
        <v>138.29796896015614</v>
      </c>
      <c r="X199" s="69">
        <v>32000</v>
      </c>
      <c r="Y199" s="48">
        <f t="shared" si="50"/>
        <v>109.96563573883161</v>
      </c>
      <c r="Z199" s="137">
        <f t="shared" si="51"/>
        <v>66.052761294402927</v>
      </c>
      <c r="AA199" s="69">
        <v>0</v>
      </c>
      <c r="AB199" s="48">
        <f t="shared" si="52"/>
        <v>0</v>
      </c>
      <c r="AC199" s="137">
        <f t="shared" si="53"/>
        <v>0</v>
      </c>
      <c r="AD199" s="70">
        <f t="shared" si="54"/>
        <v>99000</v>
      </c>
      <c r="AE199" s="71">
        <f t="shared" si="55"/>
        <v>340.20618556701032</v>
      </c>
      <c r="AF199" s="193">
        <f t="shared" si="56"/>
        <v>204.35073025455907</v>
      </c>
      <c r="AG199" s="185">
        <f t="shared" si="57"/>
        <v>8.5088096261280617E-3</v>
      </c>
      <c r="AH199" s="180">
        <f t="shared" si="47"/>
        <v>0.12147239263803682</v>
      </c>
      <c r="AI199" s="189">
        <v>291</v>
      </c>
      <c r="AJ199" s="125">
        <v>484.46120000000002</v>
      </c>
      <c r="AK199" s="149">
        <v>129</v>
      </c>
      <c r="AL199" s="221">
        <v>82</v>
      </c>
      <c r="AM199" s="216">
        <v>80.582524271844662</v>
      </c>
      <c r="AN199" s="213">
        <v>0.72992700729927007</v>
      </c>
      <c r="AO199" s="127">
        <v>2.327</v>
      </c>
      <c r="AP199" s="133">
        <v>0.16300000000000001</v>
      </c>
      <c r="AQ199" s="224">
        <f t="shared" si="58"/>
        <v>1.0939849624060149</v>
      </c>
      <c r="AR199" s="158">
        <v>266</v>
      </c>
      <c r="AS199" s="229">
        <f t="shared" si="59"/>
        <v>0.69784172661870503</v>
      </c>
      <c r="AT199" s="230">
        <v>417</v>
      </c>
      <c r="AU199" s="203">
        <v>12.027491408934708</v>
      </c>
      <c r="AV199" s="204">
        <v>68.384879725085909</v>
      </c>
      <c r="AW199" s="205">
        <v>19.587628865979383</v>
      </c>
      <c r="AX199" s="123">
        <v>3.0611999999999999</v>
      </c>
      <c r="AY199" s="281">
        <v>10.077519379844961</v>
      </c>
      <c r="AZ199" s="282">
        <v>25.581395348837212</v>
      </c>
      <c r="BA199" s="283">
        <f t="shared" si="60"/>
        <v>64.341085271317837</v>
      </c>
      <c r="BB199" s="234">
        <v>54</v>
      </c>
      <c r="BC199" s="20">
        <v>2017</v>
      </c>
      <c r="BD199" s="263" t="s">
        <v>556</v>
      </c>
      <c r="BE199" s="261" t="s">
        <v>556</v>
      </c>
      <c r="BF199" s="260" t="s">
        <v>557</v>
      </c>
      <c r="BG199" s="256">
        <v>9.6428571428571441</v>
      </c>
      <c r="BH199" s="248" t="s">
        <v>556</v>
      </c>
      <c r="BI199" s="249">
        <v>44.569288389513105</v>
      </c>
      <c r="BJ199" s="309" t="s">
        <v>557</v>
      </c>
      <c r="BK199" s="307" t="s">
        <v>557</v>
      </c>
      <c r="BL199" s="319" t="s">
        <v>1728</v>
      </c>
      <c r="BM199" s="320" t="s">
        <v>556</v>
      </c>
      <c r="BN199" s="321" t="s">
        <v>1920</v>
      </c>
      <c r="BO199" s="145" t="s">
        <v>556</v>
      </c>
      <c r="BP199" s="14" t="s">
        <v>556</v>
      </c>
      <c r="BQ199" s="14" t="s">
        <v>557</v>
      </c>
    </row>
    <row r="200" spans="1:70" s="56" customFormat="1" ht="13.95" customHeight="1" x14ac:dyDescent="0.3">
      <c r="A200" s="56" t="s">
        <v>459</v>
      </c>
      <c r="B200" s="57" t="s">
        <v>462</v>
      </c>
      <c r="C200" s="55" t="s">
        <v>160</v>
      </c>
      <c r="D200" s="58">
        <v>4</v>
      </c>
      <c r="E200" s="59" t="s">
        <v>588</v>
      </c>
      <c r="F200" s="60" t="s">
        <v>453</v>
      </c>
      <c r="G200" s="61" t="s">
        <v>113</v>
      </c>
      <c r="H200" s="61" t="s">
        <v>113</v>
      </c>
      <c r="I200" s="62" t="s">
        <v>113</v>
      </c>
      <c r="J200" s="63" t="s">
        <v>2042</v>
      </c>
      <c r="K200" s="99" t="s">
        <v>2041</v>
      </c>
      <c r="L200" s="130">
        <v>493591130</v>
      </c>
      <c r="M200" s="109" t="s">
        <v>537</v>
      </c>
      <c r="N200" s="12" t="s">
        <v>1094</v>
      </c>
      <c r="O200" s="100" t="s">
        <v>1095</v>
      </c>
      <c r="P200" s="131">
        <v>725081052</v>
      </c>
      <c r="Q200" s="67"/>
      <c r="R200" s="68"/>
      <c r="S200" s="99"/>
      <c r="T200" s="65"/>
      <c r="U200" s="170">
        <v>104800</v>
      </c>
      <c r="V200" s="48">
        <f t="shared" si="48"/>
        <v>132.32323232323233</v>
      </c>
      <c r="W200" s="171">
        <f t="shared" si="49"/>
        <v>99.465892832144178</v>
      </c>
      <c r="X200" s="69">
        <v>85000</v>
      </c>
      <c r="Y200" s="48">
        <f t="shared" si="50"/>
        <v>107.32323232323232</v>
      </c>
      <c r="Z200" s="137">
        <f t="shared" si="51"/>
        <v>80.673672621490994</v>
      </c>
      <c r="AA200" s="69">
        <v>0</v>
      </c>
      <c r="AB200" s="48">
        <f t="shared" si="52"/>
        <v>0</v>
      </c>
      <c r="AC200" s="137">
        <f t="shared" si="53"/>
        <v>0</v>
      </c>
      <c r="AD200" s="70">
        <f t="shared" si="54"/>
        <v>189800</v>
      </c>
      <c r="AE200" s="71">
        <f t="shared" si="55"/>
        <v>239.64646464646464</v>
      </c>
      <c r="AF200" s="193">
        <f t="shared" si="56"/>
        <v>180.13956545363516</v>
      </c>
      <c r="AG200" s="185">
        <f t="shared" si="57"/>
        <v>3.0766736910358247E-3</v>
      </c>
      <c r="AH200" s="180">
        <f t="shared" si="47"/>
        <v>8.2665505226480838E-3</v>
      </c>
      <c r="AI200" s="189">
        <v>792</v>
      </c>
      <c r="AJ200" s="125">
        <v>1053.6275000000001</v>
      </c>
      <c r="AK200" s="149">
        <v>485</v>
      </c>
      <c r="AL200" s="221">
        <v>225</v>
      </c>
      <c r="AM200" s="216">
        <v>82.41379310344827</v>
      </c>
      <c r="AN200" s="213">
        <v>17.452830188679243</v>
      </c>
      <c r="AO200" s="127">
        <v>12.337999999999999</v>
      </c>
      <c r="AP200" s="133">
        <v>4.5919999999999996</v>
      </c>
      <c r="AQ200" s="224">
        <f t="shared" si="58"/>
        <v>0.99123904881101377</v>
      </c>
      <c r="AR200" s="158">
        <v>799</v>
      </c>
      <c r="AS200" s="229">
        <f t="shared" si="59"/>
        <v>0.73469387755102045</v>
      </c>
      <c r="AT200" s="230">
        <v>1078</v>
      </c>
      <c r="AU200" s="203">
        <v>14.267676767676768</v>
      </c>
      <c r="AV200" s="204">
        <v>71.464646464646478</v>
      </c>
      <c r="AW200" s="205">
        <v>14.267676767676768</v>
      </c>
      <c r="AX200" s="123">
        <v>3.8801000000000001</v>
      </c>
      <c r="AY200" s="281">
        <v>3.5326086956521738</v>
      </c>
      <c r="AZ200" s="282">
        <v>48.641304347826086</v>
      </c>
      <c r="BA200" s="283">
        <f t="shared" si="60"/>
        <v>47.826086956521742</v>
      </c>
      <c r="BB200" s="234">
        <v>62.032085561497325</v>
      </c>
      <c r="BC200" s="20">
        <v>1999</v>
      </c>
      <c r="BD200" s="263" t="s">
        <v>556</v>
      </c>
      <c r="BE200" s="261" t="s">
        <v>556</v>
      </c>
      <c r="BF200" s="260" t="s">
        <v>557</v>
      </c>
      <c r="BG200" s="256">
        <v>29.810298102981029</v>
      </c>
      <c r="BH200" s="248" t="s">
        <v>556</v>
      </c>
      <c r="BI200" s="249">
        <v>41.573033707865171</v>
      </c>
      <c r="BJ200" s="309" t="s">
        <v>557</v>
      </c>
      <c r="BK200" s="307" t="s">
        <v>750</v>
      </c>
      <c r="BL200" s="319" t="s">
        <v>1728</v>
      </c>
      <c r="BM200" s="320" t="s">
        <v>556</v>
      </c>
      <c r="BN200" s="321" t="s">
        <v>1847</v>
      </c>
      <c r="BO200" s="145" t="s">
        <v>556</v>
      </c>
      <c r="BP200" s="14" t="s">
        <v>556</v>
      </c>
      <c r="BQ200" s="14" t="s">
        <v>556</v>
      </c>
    </row>
    <row r="201" spans="1:70" s="56" customFormat="1" ht="13.95" customHeight="1" x14ac:dyDescent="0.3">
      <c r="A201" s="56" t="s">
        <v>459</v>
      </c>
      <c r="B201" s="57" t="s">
        <v>462</v>
      </c>
      <c r="C201" s="55" t="s">
        <v>339</v>
      </c>
      <c r="D201" s="58">
        <v>3</v>
      </c>
      <c r="E201" s="59" t="s">
        <v>698</v>
      </c>
      <c r="F201" s="60" t="s">
        <v>455</v>
      </c>
      <c r="G201" s="61" t="s">
        <v>528</v>
      </c>
      <c r="H201" s="61" t="s">
        <v>528</v>
      </c>
      <c r="I201" s="62" t="s">
        <v>528</v>
      </c>
      <c r="J201" s="63" t="s">
        <v>2027</v>
      </c>
      <c r="K201" s="99" t="s">
        <v>1460</v>
      </c>
      <c r="L201" s="130">
        <v>494384204</v>
      </c>
      <c r="M201" s="109" t="s">
        <v>564</v>
      </c>
      <c r="N201" s="12" t="s">
        <v>1459</v>
      </c>
      <c r="O201" s="100"/>
      <c r="P201" s="131">
        <v>724181636</v>
      </c>
      <c r="Q201" s="67"/>
      <c r="R201" s="68"/>
      <c r="S201" s="99"/>
      <c r="T201" s="112"/>
      <c r="U201" s="170">
        <v>0</v>
      </c>
      <c r="V201" s="48">
        <f t="shared" si="48"/>
        <v>0</v>
      </c>
      <c r="W201" s="171">
        <f t="shared" si="49"/>
        <v>0</v>
      </c>
      <c r="X201" s="69">
        <v>0</v>
      </c>
      <c r="Y201" s="48">
        <f t="shared" si="50"/>
        <v>0</v>
      </c>
      <c r="Z201" s="137">
        <f t="shared" si="51"/>
        <v>0</v>
      </c>
      <c r="AA201" s="69">
        <v>0</v>
      </c>
      <c r="AB201" s="48">
        <f t="shared" si="52"/>
        <v>0</v>
      </c>
      <c r="AC201" s="137">
        <f t="shared" si="53"/>
        <v>0</v>
      </c>
      <c r="AD201" s="70">
        <f t="shared" si="54"/>
        <v>0</v>
      </c>
      <c r="AE201" s="71">
        <f t="shared" si="55"/>
        <v>0</v>
      </c>
      <c r="AF201" s="193">
        <f t="shared" si="56"/>
        <v>0</v>
      </c>
      <c r="AG201" s="185">
        <f t="shared" si="57"/>
        <v>0</v>
      </c>
      <c r="AH201" s="180">
        <f t="shared" si="47"/>
        <v>0</v>
      </c>
      <c r="AI201" s="189">
        <v>627</v>
      </c>
      <c r="AJ201" s="125">
        <v>629.36540000000002</v>
      </c>
      <c r="AK201" s="149">
        <v>231</v>
      </c>
      <c r="AL201" s="221">
        <v>151</v>
      </c>
      <c r="AM201" s="216">
        <v>96.517412935323392</v>
      </c>
      <c r="AN201" s="213">
        <v>10.56910569105691</v>
      </c>
      <c r="AO201" s="127">
        <v>6.2110000000000003</v>
      </c>
      <c r="AP201" s="133">
        <v>0.38400000000000001</v>
      </c>
      <c r="AQ201" s="224">
        <f t="shared" si="58"/>
        <v>1.1965648854961832</v>
      </c>
      <c r="AR201" s="158">
        <v>524</v>
      </c>
      <c r="AS201" s="229">
        <f t="shared" si="59"/>
        <v>0.94002998500749624</v>
      </c>
      <c r="AT201" s="230">
        <v>667</v>
      </c>
      <c r="AU201" s="203">
        <v>15.151515151515152</v>
      </c>
      <c r="AV201" s="204">
        <v>70.813397129186598</v>
      </c>
      <c r="AW201" s="205">
        <v>14.035087719298245</v>
      </c>
      <c r="AX201" s="123">
        <v>1.8182</v>
      </c>
      <c r="AY201" s="281">
        <v>3.5087719298245612</v>
      </c>
      <c r="AZ201" s="282">
        <v>43.15789473684211</v>
      </c>
      <c r="BA201" s="283">
        <f t="shared" si="60"/>
        <v>53.333333333333329</v>
      </c>
      <c r="BB201" s="234">
        <v>61.202185792349724</v>
      </c>
      <c r="BC201" s="20">
        <v>1999</v>
      </c>
      <c r="BD201" s="263" t="s">
        <v>556</v>
      </c>
      <c r="BE201" s="261" t="s">
        <v>556</v>
      </c>
      <c r="BF201" s="260" t="s">
        <v>557</v>
      </c>
      <c r="BG201" s="256">
        <v>42.18181818181818</v>
      </c>
      <c r="BH201" s="248" t="s">
        <v>556</v>
      </c>
      <c r="BI201" s="249">
        <v>29.523809523809526</v>
      </c>
      <c r="BJ201" s="308" t="s">
        <v>556</v>
      </c>
      <c r="BK201" s="307" t="s">
        <v>750</v>
      </c>
      <c r="BL201" s="319" t="s">
        <v>1728</v>
      </c>
      <c r="BM201" s="320" t="s">
        <v>556</v>
      </c>
      <c r="BN201" s="321" t="s">
        <v>1957</v>
      </c>
      <c r="BO201" s="145" t="s">
        <v>556</v>
      </c>
      <c r="BP201" s="14" t="s">
        <v>556</v>
      </c>
      <c r="BQ201" s="14" t="s">
        <v>557</v>
      </c>
    </row>
    <row r="202" spans="1:70" s="72" customFormat="1" ht="13.95" customHeight="1" x14ac:dyDescent="0.3">
      <c r="A202" s="56" t="s">
        <v>459</v>
      </c>
      <c r="B202" s="57" t="s">
        <v>462</v>
      </c>
      <c r="C202" s="55" t="s">
        <v>340</v>
      </c>
      <c r="D202" s="58">
        <v>2</v>
      </c>
      <c r="E202" s="59" t="s">
        <v>699</v>
      </c>
      <c r="F202" s="60" t="s">
        <v>455</v>
      </c>
      <c r="G202" s="61" t="s">
        <v>529</v>
      </c>
      <c r="H202" s="61" t="s">
        <v>530</v>
      </c>
      <c r="I202" s="62" t="s">
        <v>530</v>
      </c>
      <c r="J202" s="63" t="s">
        <v>2045</v>
      </c>
      <c r="K202" s="99" t="s">
        <v>2044</v>
      </c>
      <c r="L202" s="130">
        <v>494371416</v>
      </c>
      <c r="M202" s="109" t="s">
        <v>537</v>
      </c>
      <c r="N202" s="12" t="s">
        <v>1461</v>
      </c>
      <c r="O202" s="100" t="s">
        <v>1462</v>
      </c>
      <c r="P202" s="131">
        <v>724179760</v>
      </c>
      <c r="Q202" s="67"/>
      <c r="R202" s="68"/>
      <c r="S202" s="99"/>
      <c r="T202" s="112"/>
      <c r="U202" s="170">
        <v>115000</v>
      </c>
      <c r="V202" s="48">
        <f t="shared" si="48"/>
        <v>216.57250470809794</v>
      </c>
      <c r="W202" s="171">
        <f t="shared" si="49"/>
        <v>108.77979715121793</v>
      </c>
      <c r="X202" s="69">
        <v>37000</v>
      </c>
      <c r="Y202" s="48">
        <f t="shared" si="50"/>
        <v>69.679849340866284</v>
      </c>
      <c r="Z202" s="137">
        <f t="shared" si="51"/>
        <v>34.9987173443049</v>
      </c>
      <c r="AA202" s="69">
        <v>0</v>
      </c>
      <c r="AB202" s="48">
        <f t="shared" si="52"/>
        <v>0</v>
      </c>
      <c r="AC202" s="137">
        <f t="shared" si="53"/>
        <v>0</v>
      </c>
      <c r="AD202" s="70">
        <f t="shared" si="54"/>
        <v>152000</v>
      </c>
      <c r="AE202" s="71">
        <f t="shared" si="55"/>
        <v>286.25235404896421</v>
      </c>
      <c r="AF202" s="193">
        <f t="shared" si="56"/>
        <v>143.77851449552284</v>
      </c>
      <c r="AG202" s="185">
        <f t="shared" si="57"/>
        <v>4.0964829537798141E-3</v>
      </c>
      <c r="AH202" s="180">
        <f t="shared" si="47"/>
        <v>1.3805631244323342E-2</v>
      </c>
      <c r="AI202" s="189">
        <v>531</v>
      </c>
      <c r="AJ202" s="125">
        <v>1057.1815999999999</v>
      </c>
      <c r="AK202" s="149">
        <v>230</v>
      </c>
      <c r="AL202" s="221">
        <v>160</v>
      </c>
      <c r="AM202" s="216">
        <v>98.91304347826086</v>
      </c>
      <c r="AN202" s="213">
        <v>5.9090909090909101</v>
      </c>
      <c r="AO202" s="127">
        <v>7.4210000000000003</v>
      </c>
      <c r="AP202" s="133">
        <v>2.202</v>
      </c>
      <c r="AQ202" s="224">
        <f t="shared" si="58"/>
        <v>1.2673031026252983</v>
      </c>
      <c r="AR202" s="158">
        <v>419</v>
      </c>
      <c r="AS202" s="229">
        <f t="shared" si="59"/>
        <v>0.96021699819168171</v>
      </c>
      <c r="AT202" s="230">
        <v>553</v>
      </c>
      <c r="AU202" s="203">
        <v>16.760828625235405</v>
      </c>
      <c r="AV202" s="204">
        <v>67.79661016949153</v>
      </c>
      <c r="AW202" s="205">
        <v>15.442561205273069</v>
      </c>
      <c r="AX202" s="123">
        <v>3.6415000000000002</v>
      </c>
      <c r="AY202" s="281">
        <v>4.0358744394618835</v>
      </c>
      <c r="AZ202" s="282">
        <v>34.080717488789233</v>
      </c>
      <c r="BA202" s="283">
        <f t="shared" si="60"/>
        <v>61.883408071748889</v>
      </c>
      <c r="BB202" s="234">
        <v>85.567010309278359</v>
      </c>
      <c r="BC202" s="20">
        <v>2015</v>
      </c>
      <c r="BD202" s="263" t="s">
        <v>556</v>
      </c>
      <c r="BE202" s="261" t="s">
        <v>556</v>
      </c>
      <c r="BF202" s="260" t="s">
        <v>557</v>
      </c>
      <c r="BG202" s="256">
        <v>2.8056112224448899</v>
      </c>
      <c r="BH202" s="248" t="s">
        <v>556</v>
      </c>
      <c r="BI202" s="249">
        <v>76.260504201680675</v>
      </c>
      <c r="BJ202" s="308" t="s">
        <v>556</v>
      </c>
      <c r="BK202" s="307" t="s">
        <v>750</v>
      </c>
      <c r="BL202" s="319" t="s">
        <v>1728</v>
      </c>
      <c r="BM202" s="320" t="s">
        <v>556</v>
      </c>
      <c r="BN202" s="321" t="s">
        <v>1838</v>
      </c>
      <c r="BO202" s="145" t="s">
        <v>557</v>
      </c>
      <c r="BP202" s="14" t="s">
        <v>557</v>
      </c>
      <c r="BQ202" s="14" t="s">
        <v>556</v>
      </c>
      <c r="BR202" s="56"/>
    </row>
    <row r="203" spans="1:70" s="72" customFormat="1" ht="13.95" customHeight="1" x14ac:dyDescent="0.3">
      <c r="A203" s="56" t="s">
        <v>459</v>
      </c>
      <c r="B203" s="57" t="s">
        <v>462</v>
      </c>
      <c r="C203" s="55" t="s">
        <v>161</v>
      </c>
      <c r="D203" s="58">
        <v>2</v>
      </c>
      <c r="E203" s="59" t="s">
        <v>589</v>
      </c>
      <c r="F203" s="60" t="s">
        <v>453</v>
      </c>
      <c r="G203" s="61" t="s">
        <v>117</v>
      </c>
      <c r="H203" s="61" t="s">
        <v>117</v>
      </c>
      <c r="I203" s="62" t="s">
        <v>117</v>
      </c>
      <c r="J203" s="63" t="s">
        <v>2046</v>
      </c>
      <c r="K203" s="99" t="s">
        <v>1097</v>
      </c>
      <c r="L203" s="130">
        <v>493691425</v>
      </c>
      <c r="M203" s="109" t="s">
        <v>564</v>
      </c>
      <c r="N203" s="12" t="s">
        <v>1096</v>
      </c>
      <c r="O203" s="100"/>
      <c r="P203" s="131">
        <v>725086511</v>
      </c>
      <c r="Q203" s="67"/>
      <c r="R203" s="68"/>
      <c r="S203" s="99"/>
      <c r="T203" s="65"/>
      <c r="U203" s="170">
        <v>1092485</v>
      </c>
      <c r="V203" s="48">
        <f t="shared" si="48"/>
        <v>5011.399082568807</v>
      </c>
      <c r="W203" s="171">
        <f t="shared" si="49"/>
        <v>1186.5416847320344</v>
      </c>
      <c r="X203" s="69">
        <v>0</v>
      </c>
      <c r="Y203" s="48">
        <f t="shared" si="50"/>
        <v>0</v>
      </c>
      <c r="Z203" s="137">
        <f t="shared" si="51"/>
        <v>0</v>
      </c>
      <c r="AA203" s="69">
        <v>0</v>
      </c>
      <c r="AB203" s="48">
        <f t="shared" si="52"/>
        <v>0</v>
      </c>
      <c r="AC203" s="137">
        <f t="shared" si="53"/>
        <v>0</v>
      </c>
      <c r="AD203" s="70">
        <f t="shared" si="54"/>
        <v>1092485</v>
      </c>
      <c r="AE203" s="71">
        <f t="shared" si="55"/>
        <v>5011.399082568807</v>
      </c>
      <c r="AF203" s="193">
        <f t="shared" si="56"/>
        <v>1186.5416847320344</v>
      </c>
      <c r="AG203" s="185">
        <f t="shared" si="57"/>
        <v>7.7071252204585536E-2</v>
      </c>
      <c r="AH203" s="180">
        <f t="shared" si="47"/>
        <v>0.21505610236220471</v>
      </c>
      <c r="AI203" s="189">
        <v>218</v>
      </c>
      <c r="AJ203" s="125">
        <v>920.73040000000003</v>
      </c>
      <c r="AK203" s="149">
        <v>124</v>
      </c>
      <c r="AL203" s="221">
        <v>64</v>
      </c>
      <c r="AM203" s="216">
        <v>92.20779220779221</v>
      </c>
      <c r="AN203" s="213">
        <v>28.813559322033896</v>
      </c>
      <c r="AO203" s="127">
        <v>2.835</v>
      </c>
      <c r="AP203" s="133">
        <v>1.016</v>
      </c>
      <c r="AQ203" s="224">
        <f t="shared" si="58"/>
        <v>1.0430622009569377</v>
      </c>
      <c r="AR203" s="158">
        <v>209</v>
      </c>
      <c r="AS203" s="229">
        <f t="shared" si="59"/>
        <v>0.41923076923076924</v>
      </c>
      <c r="AT203" s="230">
        <v>520</v>
      </c>
      <c r="AU203" s="203">
        <v>19.26605504587156</v>
      </c>
      <c r="AV203" s="204">
        <v>63.302752293577988</v>
      </c>
      <c r="AW203" s="205">
        <v>17.431192660550458</v>
      </c>
      <c r="AX203" s="123">
        <v>4.4443999999999999</v>
      </c>
      <c r="AY203" s="281">
        <v>11.475409836065573</v>
      </c>
      <c r="AZ203" s="282">
        <v>26.229508196721312</v>
      </c>
      <c r="BA203" s="283">
        <f t="shared" si="60"/>
        <v>62.295081967213108</v>
      </c>
      <c r="BB203" s="234">
        <v>78.571428571428569</v>
      </c>
      <c r="BC203" s="20">
        <v>2004</v>
      </c>
      <c r="BD203" s="263" t="s">
        <v>556</v>
      </c>
      <c r="BE203" s="261" t="s">
        <v>556</v>
      </c>
      <c r="BF203" s="260" t="s">
        <v>557</v>
      </c>
      <c r="BG203" s="256">
        <v>15.228426395939088</v>
      </c>
      <c r="BH203" s="254" t="s">
        <v>557</v>
      </c>
      <c r="BI203" s="249">
        <v>0</v>
      </c>
      <c r="BJ203" s="309" t="s">
        <v>557</v>
      </c>
      <c r="BK203" s="307" t="s">
        <v>557</v>
      </c>
      <c r="BL203" s="319" t="s">
        <v>1728</v>
      </c>
      <c r="BM203" s="320" t="s">
        <v>556</v>
      </c>
      <c r="BN203" s="321" t="s">
        <v>1767</v>
      </c>
      <c r="BO203" s="145" t="s">
        <v>557</v>
      </c>
      <c r="BP203" s="14" t="s">
        <v>556</v>
      </c>
      <c r="BQ203" s="14" t="s">
        <v>557</v>
      </c>
      <c r="BR203" s="56"/>
    </row>
    <row r="204" spans="1:70" s="56" customFormat="1" ht="13.95" customHeight="1" x14ac:dyDescent="0.3">
      <c r="A204" s="3" t="s">
        <v>459</v>
      </c>
      <c r="B204" s="57" t="s">
        <v>462</v>
      </c>
      <c r="C204" s="55" t="s">
        <v>54</v>
      </c>
      <c r="D204" s="58">
        <v>1</v>
      </c>
      <c r="E204" s="97" t="s">
        <v>610</v>
      </c>
      <c r="F204" s="60" t="s">
        <v>452</v>
      </c>
      <c r="G204" s="61" t="s">
        <v>11</v>
      </c>
      <c r="H204" s="61" t="s">
        <v>524</v>
      </c>
      <c r="I204" s="62" t="s">
        <v>524</v>
      </c>
      <c r="J204" s="117" t="s">
        <v>2047</v>
      </c>
      <c r="K204" s="100" t="s">
        <v>872</v>
      </c>
      <c r="L204" s="131">
        <v>495486428</v>
      </c>
      <c r="M204" s="109" t="s">
        <v>564</v>
      </c>
      <c r="N204" s="12" t="s">
        <v>873</v>
      </c>
      <c r="O204" s="100"/>
      <c r="P204" s="131">
        <v>724184503</v>
      </c>
      <c r="Q204" s="67"/>
      <c r="R204" s="12"/>
      <c r="S204" s="100"/>
      <c r="T204" s="66"/>
      <c r="U204" s="170">
        <v>0</v>
      </c>
      <c r="V204" s="48">
        <f t="shared" si="48"/>
        <v>0</v>
      </c>
      <c r="W204" s="171">
        <f t="shared" si="49"/>
        <v>0</v>
      </c>
      <c r="X204" s="69">
        <v>0</v>
      </c>
      <c r="Y204" s="48">
        <f t="shared" si="50"/>
        <v>0</v>
      </c>
      <c r="Z204" s="137">
        <f t="shared" si="51"/>
        <v>0</v>
      </c>
      <c r="AA204" s="69">
        <v>0</v>
      </c>
      <c r="AB204" s="48">
        <f t="shared" si="52"/>
        <v>0</v>
      </c>
      <c r="AC204" s="137">
        <f t="shared" si="53"/>
        <v>0</v>
      </c>
      <c r="AD204" s="70">
        <f t="shared" si="54"/>
        <v>0</v>
      </c>
      <c r="AE204" s="71">
        <f t="shared" si="55"/>
        <v>0</v>
      </c>
      <c r="AF204" s="193">
        <f t="shared" si="56"/>
        <v>0</v>
      </c>
      <c r="AG204" s="185">
        <f t="shared" si="57"/>
        <v>0</v>
      </c>
      <c r="AH204" s="180">
        <f t="shared" si="47"/>
        <v>0</v>
      </c>
      <c r="AI204" s="189">
        <v>159</v>
      </c>
      <c r="AJ204" s="125">
        <v>641.1617</v>
      </c>
      <c r="AK204" s="149">
        <v>130</v>
      </c>
      <c r="AL204" s="221">
        <v>66</v>
      </c>
      <c r="AM204" s="216">
        <v>97.297297297297305</v>
      </c>
      <c r="AN204" s="213">
        <v>8.9430894308943092</v>
      </c>
      <c r="AO204" s="127">
        <v>0.99</v>
      </c>
      <c r="AP204" s="133">
        <v>0</v>
      </c>
      <c r="AQ204" s="224">
        <f t="shared" si="58"/>
        <v>0.67088607594936711</v>
      </c>
      <c r="AR204" s="158">
        <v>237</v>
      </c>
      <c r="AS204" s="229">
        <f t="shared" si="59"/>
        <v>0.29831144465290804</v>
      </c>
      <c r="AT204" s="230">
        <v>533</v>
      </c>
      <c r="AU204" s="203">
        <v>8.8050314465408803</v>
      </c>
      <c r="AV204" s="204">
        <v>57.861635220125791</v>
      </c>
      <c r="AW204" s="205">
        <v>33.333333333333329</v>
      </c>
      <c r="AX204" s="123">
        <v>9.375</v>
      </c>
      <c r="AY204" s="281">
        <v>5.9701492537313428</v>
      </c>
      <c r="AZ204" s="282">
        <v>41.791044776119399</v>
      </c>
      <c r="BA204" s="283">
        <f t="shared" si="60"/>
        <v>52.238805970149265</v>
      </c>
      <c r="BB204" s="234">
        <v>86.206896551724142</v>
      </c>
      <c r="BC204" s="19">
        <v>2006</v>
      </c>
      <c r="BD204" s="263" t="s">
        <v>556</v>
      </c>
      <c r="BE204" s="261" t="s">
        <v>556</v>
      </c>
      <c r="BF204" s="260" t="s">
        <v>557</v>
      </c>
      <c r="BG204" s="256">
        <v>34.193548387096776</v>
      </c>
      <c r="BH204" s="248" t="s">
        <v>556</v>
      </c>
      <c r="BI204" s="249">
        <v>29.220779220779221</v>
      </c>
      <c r="BJ204" s="309" t="s">
        <v>557</v>
      </c>
      <c r="BK204" s="307" t="s">
        <v>557</v>
      </c>
      <c r="BL204" s="319" t="s">
        <v>1728</v>
      </c>
      <c r="BM204" s="320" t="s">
        <v>556</v>
      </c>
      <c r="BN204" s="321" t="s">
        <v>1767</v>
      </c>
      <c r="BO204" s="21" t="s">
        <v>557</v>
      </c>
      <c r="BP204" s="10" t="s">
        <v>557</v>
      </c>
      <c r="BQ204" s="10" t="s">
        <v>557</v>
      </c>
      <c r="BR204" s="80"/>
    </row>
    <row r="205" spans="1:70" s="56" customFormat="1" ht="13.95" customHeight="1" x14ac:dyDescent="0.3">
      <c r="A205" s="56" t="s">
        <v>459</v>
      </c>
      <c r="B205" s="57" t="s">
        <v>462</v>
      </c>
      <c r="C205" s="55" t="s">
        <v>425</v>
      </c>
      <c r="D205" s="58">
        <v>2</v>
      </c>
      <c r="E205" s="59" t="s">
        <v>732</v>
      </c>
      <c r="F205" s="60" t="s">
        <v>456</v>
      </c>
      <c r="G205" s="61" t="s">
        <v>531</v>
      </c>
      <c r="H205" s="61" t="s">
        <v>531</v>
      </c>
      <c r="I205" s="62" t="s">
        <v>531</v>
      </c>
      <c r="J205" s="63" t="s">
        <v>2043</v>
      </c>
      <c r="K205" s="101" t="s">
        <v>1613</v>
      </c>
      <c r="L205" s="130">
        <v>499694127</v>
      </c>
      <c r="M205" s="109" t="s">
        <v>564</v>
      </c>
      <c r="N205" s="12" t="s">
        <v>1506</v>
      </c>
      <c r="O205" s="100"/>
      <c r="P205" s="131">
        <v>603879221</v>
      </c>
      <c r="Q205" s="84"/>
      <c r="R205" s="3"/>
      <c r="S205" s="2"/>
      <c r="T205" s="112"/>
      <c r="U205" s="170">
        <f>66500+59149+94000+60000</f>
        <v>279649</v>
      </c>
      <c r="V205" s="48">
        <f t="shared" si="48"/>
        <v>1705.1768292682927</v>
      </c>
      <c r="W205" s="171">
        <f t="shared" si="49"/>
        <v>618.81829513567027</v>
      </c>
      <c r="X205" s="69">
        <v>0</v>
      </c>
      <c r="Y205" s="48">
        <f t="shared" si="50"/>
        <v>0</v>
      </c>
      <c r="Z205" s="137">
        <f t="shared" si="51"/>
        <v>0</v>
      </c>
      <c r="AA205" s="69">
        <v>0</v>
      </c>
      <c r="AB205" s="48">
        <f t="shared" si="52"/>
        <v>0</v>
      </c>
      <c r="AC205" s="137">
        <f t="shared" si="53"/>
        <v>0</v>
      </c>
      <c r="AD205" s="70">
        <f t="shared" si="54"/>
        <v>279649</v>
      </c>
      <c r="AE205" s="71">
        <f t="shared" si="55"/>
        <v>1705.1768292682927</v>
      </c>
      <c r="AF205" s="193">
        <f t="shared" si="56"/>
        <v>618.81829513567027</v>
      </c>
      <c r="AG205" s="185">
        <f t="shared" si="57"/>
        <v>1.3885253227408146E-2</v>
      </c>
      <c r="AH205" s="180">
        <f t="shared" si="47"/>
        <v>9.3684757118927972E-2</v>
      </c>
      <c r="AI205" s="189">
        <v>164</v>
      </c>
      <c r="AJ205" s="125">
        <v>451.90809999999999</v>
      </c>
      <c r="AK205" s="149">
        <v>82</v>
      </c>
      <c r="AL205" s="221">
        <v>38</v>
      </c>
      <c r="AM205" s="216">
        <v>100</v>
      </c>
      <c r="AN205" s="213">
        <v>18.30985915492958</v>
      </c>
      <c r="AO205" s="127">
        <v>4.0279999999999996</v>
      </c>
      <c r="AP205" s="133">
        <v>0.59699999999999998</v>
      </c>
      <c r="AQ205" s="224">
        <f t="shared" si="58"/>
        <v>1.8426966292134832</v>
      </c>
      <c r="AR205" s="158">
        <v>89</v>
      </c>
      <c r="AS205" s="229">
        <f t="shared" si="59"/>
        <v>0.41836734693877553</v>
      </c>
      <c r="AT205" s="230">
        <v>392</v>
      </c>
      <c r="AU205" s="203">
        <v>19.512195121951219</v>
      </c>
      <c r="AV205" s="204">
        <v>68.292682926829258</v>
      </c>
      <c r="AW205" s="205">
        <v>12.195121951219512</v>
      </c>
      <c r="AX205" s="123">
        <v>3.5714000000000001</v>
      </c>
      <c r="AY205" s="281">
        <v>6</v>
      </c>
      <c r="AZ205" s="282">
        <v>36</v>
      </c>
      <c r="BA205" s="283">
        <f t="shared" si="60"/>
        <v>58</v>
      </c>
      <c r="BB205" s="234">
        <v>84</v>
      </c>
      <c r="BC205" s="19">
        <v>2008</v>
      </c>
      <c r="BD205" s="263" t="s">
        <v>556</v>
      </c>
      <c r="BE205" s="262" t="s">
        <v>557</v>
      </c>
      <c r="BF205" s="260" t="s">
        <v>557</v>
      </c>
      <c r="BG205" s="256">
        <v>0</v>
      </c>
      <c r="BH205" s="254" t="s">
        <v>557</v>
      </c>
      <c r="BI205" s="249">
        <v>0</v>
      </c>
      <c r="BJ205" s="309" t="s">
        <v>557</v>
      </c>
      <c r="BK205" s="307" t="s">
        <v>557</v>
      </c>
      <c r="BL205" s="319" t="s">
        <v>557</v>
      </c>
      <c r="BM205" s="320" t="s">
        <v>557</v>
      </c>
      <c r="BN205" s="321" t="s">
        <v>557</v>
      </c>
      <c r="BO205" s="145" t="s">
        <v>557</v>
      </c>
      <c r="BP205" s="10" t="s">
        <v>557</v>
      </c>
      <c r="BQ205" s="10" t="s">
        <v>557</v>
      </c>
    </row>
    <row r="206" spans="1:70" s="56" customFormat="1" ht="13.95" customHeight="1" x14ac:dyDescent="0.3">
      <c r="A206" s="56" t="s">
        <v>459</v>
      </c>
      <c r="B206" s="57" t="s">
        <v>462</v>
      </c>
      <c r="C206" s="55" t="s">
        <v>260</v>
      </c>
      <c r="D206" s="58">
        <v>1</v>
      </c>
      <c r="E206" s="59"/>
      <c r="F206" s="60" t="s">
        <v>454</v>
      </c>
      <c r="G206" s="61" t="s">
        <v>226</v>
      </c>
      <c r="H206" s="61" t="s">
        <v>233</v>
      </c>
      <c r="I206" s="62" t="s">
        <v>233</v>
      </c>
      <c r="J206" s="63" t="s">
        <v>2049</v>
      </c>
      <c r="K206" s="99" t="s">
        <v>2048</v>
      </c>
      <c r="L206" s="130"/>
      <c r="M206" s="109" t="s">
        <v>564</v>
      </c>
      <c r="N206" s="12" t="s">
        <v>1310</v>
      </c>
      <c r="O206" s="100" t="s">
        <v>1311</v>
      </c>
      <c r="P206" s="131">
        <v>736633199</v>
      </c>
      <c r="Q206" s="67"/>
      <c r="R206" s="68"/>
      <c r="S206" s="99"/>
      <c r="T206" s="65"/>
      <c r="U206" s="170">
        <v>578900</v>
      </c>
      <c r="V206" s="48">
        <f t="shared" si="48"/>
        <v>5033.913043478261</v>
      </c>
      <c r="W206" s="171">
        <f t="shared" si="49"/>
        <v>1647.0710075670238</v>
      </c>
      <c r="X206" s="69">
        <v>0</v>
      </c>
      <c r="Y206" s="48">
        <f t="shared" si="50"/>
        <v>0</v>
      </c>
      <c r="Z206" s="137">
        <f t="shared" si="51"/>
        <v>0</v>
      </c>
      <c r="AA206" s="69">
        <v>0</v>
      </c>
      <c r="AB206" s="48">
        <f t="shared" si="52"/>
        <v>0</v>
      </c>
      <c r="AC206" s="137">
        <f t="shared" si="53"/>
        <v>0</v>
      </c>
      <c r="AD206" s="70">
        <f t="shared" si="54"/>
        <v>578900</v>
      </c>
      <c r="AE206" s="71">
        <f t="shared" si="55"/>
        <v>5033.913043478261</v>
      </c>
      <c r="AF206" s="193">
        <f t="shared" si="56"/>
        <v>1647.0710075670238</v>
      </c>
      <c r="AG206" s="185">
        <f t="shared" si="57"/>
        <v>8.0570633263743904E-2</v>
      </c>
      <c r="AH206" s="180">
        <f t="shared" si="47"/>
        <v>0.12264830508474575</v>
      </c>
      <c r="AI206" s="189">
        <v>115</v>
      </c>
      <c r="AJ206" s="125">
        <v>351.47239999999999</v>
      </c>
      <c r="AK206" s="149">
        <v>93</v>
      </c>
      <c r="AL206" s="221">
        <v>36</v>
      </c>
      <c r="AM206" s="216">
        <v>100</v>
      </c>
      <c r="AN206" s="213">
        <v>7.1428571428571423</v>
      </c>
      <c r="AO206" s="127">
        <v>1.4370000000000001</v>
      </c>
      <c r="AP206" s="133">
        <v>0.94399999999999995</v>
      </c>
      <c r="AQ206" s="224">
        <f t="shared" si="58"/>
        <v>1.1855670103092784</v>
      </c>
      <c r="AR206" s="158">
        <v>97</v>
      </c>
      <c r="AS206" s="229">
        <f t="shared" si="59"/>
        <v>0.34431137724550898</v>
      </c>
      <c r="AT206" s="230">
        <v>334</v>
      </c>
      <c r="AU206" s="203">
        <v>17.391304347826086</v>
      </c>
      <c r="AV206" s="204">
        <v>60.869565217391298</v>
      </c>
      <c r="AW206" s="205">
        <v>21.739130434782609</v>
      </c>
      <c r="AX206" s="123">
        <v>0</v>
      </c>
      <c r="AY206" s="281">
        <v>4.2553191489361701</v>
      </c>
      <c r="AZ206" s="282">
        <v>31.914893617021278</v>
      </c>
      <c r="BA206" s="283">
        <f t="shared" si="60"/>
        <v>63.829787234042556</v>
      </c>
      <c r="BB206" s="234">
        <v>95.833333333333343</v>
      </c>
      <c r="BC206" s="20">
        <v>2011</v>
      </c>
      <c r="BD206" s="263" t="s">
        <v>556</v>
      </c>
      <c r="BE206" s="262" t="s">
        <v>557</v>
      </c>
      <c r="BF206" s="260" t="s">
        <v>557</v>
      </c>
      <c r="BG206" s="256">
        <v>0</v>
      </c>
      <c r="BH206" s="254" t="s">
        <v>557</v>
      </c>
      <c r="BI206" s="249">
        <v>0</v>
      </c>
      <c r="BJ206" s="309" t="s">
        <v>557</v>
      </c>
      <c r="BK206" s="307" t="s">
        <v>557</v>
      </c>
      <c r="BL206" s="319" t="s">
        <v>1728</v>
      </c>
      <c r="BM206" s="320" t="s">
        <v>557</v>
      </c>
      <c r="BN206" s="321" t="s">
        <v>557</v>
      </c>
      <c r="BO206" s="145" t="s">
        <v>557</v>
      </c>
      <c r="BP206" s="14" t="s">
        <v>557</v>
      </c>
      <c r="BQ206" s="14" t="s">
        <v>557</v>
      </c>
      <c r="BR206" s="72"/>
    </row>
    <row r="207" spans="1:70" s="56" customFormat="1" ht="13.95" customHeight="1" x14ac:dyDescent="0.3">
      <c r="A207" s="56" t="s">
        <v>459</v>
      </c>
      <c r="B207" s="57" t="s">
        <v>462</v>
      </c>
      <c r="C207" s="55" t="s">
        <v>55</v>
      </c>
      <c r="D207" s="58">
        <v>2</v>
      </c>
      <c r="E207" s="59" t="s">
        <v>480</v>
      </c>
      <c r="F207" s="60" t="s">
        <v>452</v>
      </c>
      <c r="G207" s="61" t="s">
        <v>11</v>
      </c>
      <c r="H207" s="61" t="s">
        <v>16</v>
      </c>
      <c r="I207" s="62" t="s">
        <v>16</v>
      </c>
      <c r="J207" s="63" t="s">
        <v>2051</v>
      </c>
      <c r="K207" s="99" t="s">
        <v>874</v>
      </c>
      <c r="L207" s="130">
        <v>495445107</v>
      </c>
      <c r="M207" s="109" t="s">
        <v>564</v>
      </c>
      <c r="N207" s="12" t="s">
        <v>875</v>
      </c>
      <c r="O207" s="100"/>
      <c r="P207" s="131">
        <v>724182789</v>
      </c>
      <c r="Q207" s="67"/>
      <c r="R207" s="68"/>
      <c r="S207" s="99"/>
      <c r="T207" s="65"/>
      <c r="U207" s="170">
        <v>0</v>
      </c>
      <c r="V207" s="48">
        <f t="shared" si="48"/>
        <v>0</v>
      </c>
      <c r="W207" s="171">
        <f t="shared" si="49"/>
        <v>0</v>
      </c>
      <c r="X207" s="69">
        <v>6600</v>
      </c>
      <c r="Y207" s="48">
        <f t="shared" si="50"/>
        <v>16.793893129770993</v>
      </c>
      <c r="Z207" s="137">
        <f t="shared" si="51"/>
        <v>8.5673162596239525</v>
      </c>
      <c r="AA207" s="69">
        <v>0</v>
      </c>
      <c r="AB207" s="48">
        <f t="shared" si="52"/>
        <v>0</v>
      </c>
      <c r="AC207" s="137">
        <f t="shared" si="53"/>
        <v>0</v>
      </c>
      <c r="AD207" s="70">
        <f t="shared" si="54"/>
        <v>6600</v>
      </c>
      <c r="AE207" s="71">
        <f t="shared" si="55"/>
        <v>16.793893129770993</v>
      </c>
      <c r="AF207" s="193">
        <f t="shared" si="56"/>
        <v>8.5673162596239525</v>
      </c>
      <c r="AG207" s="185">
        <f t="shared" si="57"/>
        <v>6.8475385174041612E-5</v>
      </c>
      <c r="AH207" s="180">
        <f t="shared" si="47"/>
        <v>2.1418140515982475E-4</v>
      </c>
      <c r="AI207" s="189">
        <v>393</v>
      </c>
      <c r="AJ207" s="125">
        <v>770.36959999999999</v>
      </c>
      <c r="AK207" s="149">
        <v>169</v>
      </c>
      <c r="AL207" s="221">
        <v>95</v>
      </c>
      <c r="AM207" s="216">
        <v>89.344262295081961</v>
      </c>
      <c r="AN207" s="213">
        <v>0.61349693251533743</v>
      </c>
      <c r="AO207" s="127">
        <v>19.277000000000001</v>
      </c>
      <c r="AP207" s="133">
        <v>6.1630000000000003</v>
      </c>
      <c r="AQ207" s="224">
        <f t="shared" si="58"/>
        <v>1.3505154639175259</v>
      </c>
      <c r="AR207" s="158">
        <v>291</v>
      </c>
      <c r="AS207" s="229">
        <f t="shared" si="59"/>
        <v>0.74573055028462998</v>
      </c>
      <c r="AT207" s="230">
        <v>527</v>
      </c>
      <c r="AU207" s="203">
        <v>17.557251908396946</v>
      </c>
      <c r="AV207" s="204">
        <v>67.684478371501271</v>
      </c>
      <c r="AW207" s="205">
        <v>14.758269720101779</v>
      </c>
      <c r="AX207" s="123">
        <v>4.5627000000000004</v>
      </c>
      <c r="AY207" s="281">
        <v>4.7058823529411766</v>
      </c>
      <c r="AZ207" s="282">
        <v>39.411764705882355</v>
      </c>
      <c r="BA207" s="283">
        <f t="shared" si="60"/>
        <v>55.882352941176471</v>
      </c>
      <c r="BB207" s="234">
        <v>77.611940298507463</v>
      </c>
      <c r="BC207" s="20">
        <v>2013</v>
      </c>
      <c r="BD207" s="263" t="s">
        <v>556</v>
      </c>
      <c r="BE207" s="261" t="s">
        <v>556</v>
      </c>
      <c r="BF207" s="259" t="s">
        <v>556</v>
      </c>
      <c r="BG207" s="256">
        <v>92.151162790697668</v>
      </c>
      <c r="BH207" s="248" t="s">
        <v>556</v>
      </c>
      <c r="BI207" s="249">
        <v>79.617834394904463</v>
      </c>
      <c r="BJ207" s="309" t="s">
        <v>557</v>
      </c>
      <c r="BK207" s="307" t="s">
        <v>557</v>
      </c>
      <c r="BL207" s="319" t="s">
        <v>1728</v>
      </c>
      <c r="BM207" s="320" t="s">
        <v>556</v>
      </c>
      <c r="BN207" s="321" t="s">
        <v>2050</v>
      </c>
      <c r="BO207" s="145" t="s">
        <v>557</v>
      </c>
      <c r="BP207" s="14" t="s">
        <v>557</v>
      </c>
      <c r="BQ207" s="14" t="s">
        <v>557</v>
      </c>
    </row>
    <row r="208" spans="1:70" s="56" customFormat="1" ht="13.95" customHeight="1" x14ac:dyDescent="0.3">
      <c r="A208" s="56" t="s">
        <v>459</v>
      </c>
      <c r="B208" s="57" t="s">
        <v>462</v>
      </c>
      <c r="C208" s="55" t="s">
        <v>56</v>
      </c>
      <c r="D208" s="58">
        <v>1</v>
      </c>
      <c r="E208" s="59"/>
      <c r="F208" s="60" t="s">
        <v>452</v>
      </c>
      <c r="G208" s="61" t="s">
        <v>11</v>
      </c>
      <c r="H208" s="61" t="s">
        <v>11</v>
      </c>
      <c r="I208" s="62" t="s">
        <v>11</v>
      </c>
      <c r="J208" s="63" t="s">
        <v>2052</v>
      </c>
      <c r="K208" s="99" t="s">
        <v>876</v>
      </c>
      <c r="L208" s="130">
        <v>495582568</v>
      </c>
      <c r="M208" s="109" t="s">
        <v>537</v>
      </c>
      <c r="N208" s="12" t="s">
        <v>877</v>
      </c>
      <c r="O208" s="100"/>
      <c r="P208" s="131">
        <v>724184491</v>
      </c>
      <c r="Q208" s="67"/>
      <c r="R208" s="68"/>
      <c r="S208" s="99"/>
      <c r="T208" s="65"/>
      <c r="U208" s="170">
        <v>600000</v>
      </c>
      <c r="V208" s="48">
        <f t="shared" si="48"/>
        <v>1011.8043844856661</v>
      </c>
      <c r="W208" s="171">
        <f t="shared" si="49"/>
        <v>972.30660132982382</v>
      </c>
      <c r="X208" s="69">
        <v>1105039</v>
      </c>
      <c r="Y208" s="48">
        <f t="shared" si="50"/>
        <v>1863.4721753794267</v>
      </c>
      <c r="Z208" s="137">
        <f t="shared" si="51"/>
        <v>1790.7278573781784</v>
      </c>
      <c r="AA208" s="69">
        <v>0</v>
      </c>
      <c r="AB208" s="48">
        <f t="shared" si="52"/>
        <v>0</v>
      </c>
      <c r="AC208" s="137">
        <f t="shared" si="53"/>
        <v>0</v>
      </c>
      <c r="AD208" s="70">
        <f t="shared" si="54"/>
        <v>1705039</v>
      </c>
      <c r="AE208" s="71">
        <f t="shared" si="55"/>
        <v>2875.2765598650926</v>
      </c>
      <c r="AF208" s="193">
        <f t="shared" si="56"/>
        <v>2763.0344587080021</v>
      </c>
      <c r="AG208" s="185">
        <f t="shared" si="57"/>
        <v>1.3308140805494847E-2</v>
      </c>
      <c r="AH208" s="180">
        <f t="shared" si="47"/>
        <v>1.623073774393146E-2</v>
      </c>
      <c r="AI208" s="189">
        <v>593</v>
      </c>
      <c r="AJ208" s="125">
        <v>617.08929999999998</v>
      </c>
      <c r="AK208" s="149">
        <v>214</v>
      </c>
      <c r="AL208" s="221">
        <v>168</v>
      </c>
      <c r="AM208" s="216">
        <v>95.833333333333343</v>
      </c>
      <c r="AN208" s="213">
        <v>1.7699115044247788</v>
      </c>
      <c r="AO208" s="127">
        <v>25.623999999999999</v>
      </c>
      <c r="AP208" s="133">
        <v>21.01</v>
      </c>
      <c r="AQ208" s="224">
        <f t="shared" si="58"/>
        <v>1.3600917431192661</v>
      </c>
      <c r="AR208" s="158">
        <v>436</v>
      </c>
      <c r="AS208" s="229">
        <f t="shared" si="59"/>
        <v>0.71188475390156059</v>
      </c>
      <c r="AT208" s="230">
        <v>833</v>
      </c>
      <c r="AU208" s="203">
        <v>16.863406408094438</v>
      </c>
      <c r="AV208" s="204">
        <v>68.29679595278246</v>
      </c>
      <c r="AW208" s="205">
        <v>14.839797639123104</v>
      </c>
      <c r="AX208" s="123">
        <v>5.4455</v>
      </c>
      <c r="AY208" s="281">
        <v>6.9498069498069501</v>
      </c>
      <c r="AZ208" s="282">
        <v>33.204633204633204</v>
      </c>
      <c r="BA208" s="283">
        <f t="shared" si="60"/>
        <v>59.845559845559841</v>
      </c>
      <c r="BB208" s="234">
        <v>92.233009708737868</v>
      </c>
      <c r="BC208" s="20">
        <v>2012</v>
      </c>
      <c r="BD208" s="263" t="s">
        <v>556</v>
      </c>
      <c r="BE208" s="262" t="s">
        <v>557</v>
      </c>
      <c r="BF208" s="260" t="s">
        <v>557</v>
      </c>
      <c r="BG208" s="256">
        <v>0</v>
      </c>
      <c r="BH208" s="248" t="s">
        <v>556</v>
      </c>
      <c r="BI208" s="249">
        <v>84.642857142857139</v>
      </c>
      <c r="BJ208" s="309" t="s">
        <v>557</v>
      </c>
      <c r="BK208" s="307" t="s">
        <v>557</v>
      </c>
      <c r="BL208" s="319" t="s">
        <v>1728</v>
      </c>
      <c r="BM208" s="320" t="s">
        <v>556</v>
      </c>
      <c r="BN208" s="321" t="s">
        <v>1838</v>
      </c>
      <c r="BO208" s="145" t="s">
        <v>557</v>
      </c>
      <c r="BP208" s="14" t="s">
        <v>556</v>
      </c>
      <c r="BQ208" s="14" t="s">
        <v>556</v>
      </c>
    </row>
    <row r="209" spans="1:70" s="56" customFormat="1" ht="13.95" customHeight="1" x14ac:dyDescent="0.3">
      <c r="A209" s="56" t="s">
        <v>459</v>
      </c>
      <c r="B209" s="57" t="s">
        <v>462</v>
      </c>
      <c r="C209" s="55" t="s">
        <v>57</v>
      </c>
      <c r="D209" s="58">
        <v>1</v>
      </c>
      <c r="E209" s="59"/>
      <c r="F209" s="60" t="s">
        <v>452</v>
      </c>
      <c r="G209" s="61" t="s">
        <v>11</v>
      </c>
      <c r="H209" s="61" t="s">
        <v>524</v>
      </c>
      <c r="I209" s="62" t="s">
        <v>524</v>
      </c>
      <c r="J209" s="63" t="s">
        <v>2053</v>
      </c>
      <c r="K209" s="99" t="s">
        <v>2054</v>
      </c>
      <c r="L209" s="130">
        <v>495498460</v>
      </c>
      <c r="M209" s="109" t="s">
        <v>537</v>
      </c>
      <c r="N209" s="12" t="s">
        <v>878</v>
      </c>
      <c r="O209" s="100" t="s">
        <v>879</v>
      </c>
      <c r="P209" s="131">
        <v>731491119</v>
      </c>
      <c r="Q209" s="67"/>
      <c r="R209" s="68"/>
      <c r="S209" s="99"/>
      <c r="T209" s="65"/>
      <c r="U209" s="170">
        <f>164000+75000</f>
        <v>239000</v>
      </c>
      <c r="V209" s="48">
        <f t="shared" si="48"/>
        <v>346.87953555878084</v>
      </c>
      <c r="W209" s="171">
        <f t="shared" si="49"/>
        <v>233.21443950617476</v>
      </c>
      <c r="X209" s="69">
        <v>9800</v>
      </c>
      <c r="Y209" s="48">
        <f t="shared" si="50"/>
        <v>14.223512336719883</v>
      </c>
      <c r="Z209" s="137">
        <f t="shared" si="51"/>
        <v>9.562767812387083</v>
      </c>
      <c r="AA209" s="69">
        <v>0</v>
      </c>
      <c r="AB209" s="48">
        <f t="shared" si="52"/>
        <v>0</v>
      </c>
      <c r="AC209" s="137">
        <f t="shared" si="53"/>
        <v>0</v>
      </c>
      <c r="AD209" s="70">
        <f t="shared" si="54"/>
        <v>248800</v>
      </c>
      <c r="AE209" s="71">
        <f t="shared" si="55"/>
        <v>361.10304789550071</v>
      </c>
      <c r="AF209" s="193">
        <f t="shared" si="56"/>
        <v>242.77720731856184</v>
      </c>
      <c r="AG209" s="185">
        <f t="shared" si="57"/>
        <v>6.2270053810536859E-3</v>
      </c>
      <c r="AH209" s="180">
        <f t="shared" si="47"/>
        <v>5.5105204872646731E-2</v>
      </c>
      <c r="AI209" s="189">
        <v>689</v>
      </c>
      <c r="AJ209" s="125">
        <v>1024.8079</v>
      </c>
      <c r="AK209" s="149">
        <v>274</v>
      </c>
      <c r="AL209" s="221">
        <v>188</v>
      </c>
      <c r="AM209" s="216">
        <v>91.164658634538156</v>
      </c>
      <c r="AN209" s="213">
        <v>1.2121212121212119</v>
      </c>
      <c r="AO209" s="127">
        <v>7.9909999999999997</v>
      </c>
      <c r="AP209" s="133">
        <v>0.90300000000000002</v>
      </c>
      <c r="AQ209" s="224">
        <f t="shared" si="58"/>
        <v>1.0392156862745099</v>
      </c>
      <c r="AR209" s="158">
        <v>663</v>
      </c>
      <c r="AS209" s="229">
        <f t="shared" si="59"/>
        <v>0.64755639097744366</v>
      </c>
      <c r="AT209" s="230">
        <v>1064</v>
      </c>
      <c r="AU209" s="203">
        <v>14.804063860667634</v>
      </c>
      <c r="AV209" s="204">
        <v>65.602322206095778</v>
      </c>
      <c r="AW209" s="205">
        <v>19.593613933236576</v>
      </c>
      <c r="AX209" s="123">
        <v>6.7244999999999999</v>
      </c>
      <c r="AY209" s="281">
        <v>11.191335740072201</v>
      </c>
      <c r="AZ209" s="282">
        <v>44.04332129963899</v>
      </c>
      <c r="BA209" s="283">
        <f t="shared" si="60"/>
        <v>44.765342960288805</v>
      </c>
      <c r="BB209" s="234">
        <v>79.220779220779221</v>
      </c>
      <c r="BC209" s="20">
        <v>2006</v>
      </c>
      <c r="BD209" s="263" t="s">
        <v>556</v>
      </c>
      <c r="BE209" s="261" t="s">
        <v>556</v>
      </c>
      <c r="BF209" s="260" t="s">
        <v>557</v>
      </c>
      <c r="BG209" s="256">
        <v>41.185647425897038</v>
      </c>
      <c r="BH209" s="248" t="s">
        <v>556</v>
      </c>
      <c r="BI209" s="249">
        <v>38.048780487804876</v>
      </c>
      <c r="BJ209" s="308" t="s">
        <v>556</v>
      </c>
      <c r="BK209" s="307" t="s">
        <v>750</v>
      </c>
      <c r="BL209" s="319" t="s">
        <v>1728</v>
      </c>
      <c r="BM209" s="320" t="s">
        <v>556</v>
      </c>
      <c r="BN209" s="321" t="s">
        <v>2055</v>
      </c>
      <c r="BO209" s="145" t="s">
        <v>556</v>
      </c>
      <c r="BP209" s="14" t="s">
        <v>556</v>
      </c>
      <c r="BQ209" s="14" t="s">
        <v>556</v>
      </c>
    </row>
    <row r="210" spans="1:70" s="56" customFormat="1" ht="13.95" customHeight="1" x14ac:dyDescent="0.3">
      <c r="A210" s="56" t="s">
        <v>459</v>
      </c>
      <c r="B210" s="57" t="s">
        <v>462</v>
      </c>
      <c r="C210" s="55" t="s">
        <v>162</v>
      </c>
      <c r="D210" s="58">
        <v>3</v>
      </c>
      <c r="E210" s="59" t="s">
        <v>590</v>
      </c>
      <c r="F210" s="60" t="s">
        <v>453</v>
      </c>
      <c r="G210" s="61" t="s">
        <v>117</v>
      </c>
      <c r="H210" s="61" t="s">
        <v>117</v>
      </c>
      <c r="I210" s="62" t="s">
        <v>117</v>
      </c>
      <c r="J210" s="63" t="s">
        <v>2057</v>
      </c>
      <c r="K210" s="99" t="s">
        <v>2056</v>
      </c>
      <c r="L210" s="130">
        <v>493621791</v>
      </c>
      <c r="M210" s="109" t="s">
        <v>564</v>
      </c>
      <c r="N210" s="12" t="s">
        <v>1098</v>
      </c>
      <c r="O210" s="100" t="s">
        <v>1099</v>
      </c>
      <c r="P210" s="131">
        <v>603840927</v>
      </c>
      <c r="Q210" s="67"/>
      <c r="R210" s="68"/>
      <c r="S210" s="99"/>
      <c r="T210" s="65"/>
      <c r="U210" s="170">
        <v>760000</v>
      </c>
      <c r="V210" s="48">
        <f t="shared" si="48"/>
        <v>2576.2711864406779</v>
      </c>
      <c r="W210" s="171">
        <f t="shared" si="49"/>
        <v>878.97294324668326</v>
      </c>
      <c r="X210" s="69">
        <v>78350</v>
      </c>
      <c r="Y210" s="48">
        <f t="shared" si="50"/>
        <v>265.59322033898303</v>
      </c>
      <c r="Z210" s="137">
        <f t="shared" si="51"/>
        <v>90.61517118865477</v>
      </c>
      <c r="AA210" s="69">
        <v>0</v>
      </c>
      <c r="AB210" s="48">
        <f t="shared" si="52"/>
        <v>0</v>
      </c>
      <c r="AC210" s="137">
        <f t="shared" si="53"/>
        <v>0</v>
      </c>
      <c r="AD210" s="70">
        <f t="shared" si="54"/>
        <v>838350</v>
      </c>
      <c r="AE210" s="71">
        <f t="shared" si="55"/>
        <v>2841.8644067796608</v>
      </c>
      <c r="AF210" s="193">
        <f t="shared" si="56"/>
        <v>969.58811443533796</v>
      </c>
      <c r="AG210" s="185">
        <f t="shared" si="57"/>
        <v>4.0412147505422991E-2</v>
      </c>
      <c r="AH210" s="180">
        <f t="shared" si="47"/>
        <v>9.0339439655172424E-2</v>
      </c>
      <c r="AI210" s="189">
        <v>295</v>
      </c>
      <c r="AJ210" s="125">
        <v>864.64549999999997</v>
      </c>
      <c r="AK210" s="149">
        <v>175</v>
      </c>
      <c r="AL210" s="221">
        <v>90</v>
      </c>
      <c r="AM210" s="216">
        <v>93.269230769230774</v>
      </c>
      <c r="AN210" s="213">
        <v>1.1695906432748537</v>
      </c>
      <c r="AO210" s="127">
        <v>4.149</v>
      </c>
      <c r="AP210" s="133">
        <v>1.8560000000000001</v>
      </c>
      <c r="AQ210" s="224">
        <f t="shared" si="58"/>
        <v>1.088560885608856</v>
      </c>
      <c r="AR210" s="158">
        <v>271</v>
      </c>
      <c r="AS210" s="229">
        <f t="shared" si="59"/>
        <v>0.48123980424143559</v>
      </c>
      <c r="AT210" s="230">
        <v>613</v>
      </c>
      <c r="AU210" s="203">
        <v>17.288135593220339</v>
      </c>
      <c r="AV210" s="204">
        <v>65.423728813559308</v>
      </c>
      <c r="AW210" s="205">
        <v>17.288135593220339</v>
      </c>
      <c r="AX210" s="123">
        <v>4.1237000000000004</v>
      </c>
      <c r="AY210" s="281">
        <v>8.7301587301587293</v>
      </c>
      <c r="AZ210" s="282">
        <v>33.333333333333329</v>
      </c>
      <c r="BA210" s="283">
        <f t="shared" si="60"/>
        <v>57.936507936507937</v>
      </c>
      <c r="BB210" s="234">
        <v>92.307692307692307</v>
      </c>
      <c r="BC210" s="20">
        <v>2002</v>
      </c>
      <c r="BD210" s="263" t="s">
        <v>556</v>
      </c>
      <c r="BE210" s="261" t="s">
        <v>556</v>
      </c>
      <c r="BF210" s="260" t="s">
        <v>557</v>
      </c>
      <c r="BG210" s="256">
        <v>7.8740157480314963</v>
      </c>
      <c r="BH210" s="254" t="s">
        <v>557</v>
      </c>
      <c r="BI210" s="249">
        <v>0</v>
      </c>
      <c r="BJ210" s="309" t="s">
        <v>557</v>
      </c>
      <c r="BK210" s="307" t="s">
        <v>557</v>
      </c>
      <c r="BL210" s="319" t="s">
        <v>1728</v>
      </c>
      <c r="BM210" s="320" t="s">
        <v>556</v>
      </c>
      <c r="BN210" s="321" t="s">
        <v>1838</v>
      </c>
      <c r="BO210" s="145" t="s">
        <v>557</v>
      </c>
      <c r="BP210" s="14" t="s">
        <v>557</v>
      </c>
      <c r="BQ210" s="14" t="s">
        <v>557</v>
      </c>
    </row>
    <row r="211" spans="1:70" s="3" customFormat="1" ht="13.95" customHeight="1" x14ac:dyDescent="0.3">
      <c r="A211" s="56" t="s">
        <v>459</v>
      </c>
      <c r="B211" s="57" t="s">
        <v>462</v>
      </c>
      <c r="C211" s="55" t="s">
        <v>341</v>
      </c>
      <c r="D211" s="58">
        <v>1</v>
      </c>
      <c r="E211" s="59"/>
      <c r="F211" s="60" t="s">
        <v>455</v>
      </c>
      <c r="G211" s="61" t="s">
        <v>528</v>
      </c>
      <c r="H211" s="61" t="s">
        <v>528</v>
      </c>
      <c r="I211" s="62" t="s">
        <v>528</v>
      </c>
      <c r="J211" s="63" t="s">
        <v>2058</v>
      </c>
      <c r="K211" s="99" t="s">
        <v>1464</v>
      </c>
      <c r="L211" s="130">
        <v>494542137</v>
      </c>
      <c r="M211" s="109" t="s">
        <v>537</v>
      </c>
      <c r="N211" s="12" t="s">
        <v>1463</v>
      </c>
      <c r="O211" s="100"/>
      <c r="P211" s="131">
        <v>724734940</v>
      </c>
      <c r="Q211" s="67"/>
      <c r="R211" s="68"/>
      <c r="S211" s="99"/>
      <c r="T211" s="112"/>
      <c r="U211" s="170">
        <f>92000+45900+31800</f>
        <v>169700</v>
      </c>
      <c r="V211" s="48">
        <f t="shared" si="48"/>
        <v>277.28758169934639</v>
      </c>
      <c r="W211" s="171">
        <f t="shared" si="49"/>
        <v>155.42446494647106</v>
      </c>
      <c r="X211" s="69">
        <v>120340</v>
      </c>
      <c r="Y211" s="48">
        <f t="shared" si="50"/>
        <v>196.63398692810458</v>
      </c>
      <c r="Z211" s="137">
        <f t="shared" si="51"/>
        <v>110.21673607341383</v>
      </c>
      <c r="AA211" s="69">
        <v>0</v>
      </c>
      <c r="AB211" s="48">
        <f t="shared" si="52"/>
        <v>0</v>
      </c>
      <c r="AC211" s="137">
        <f t="shared" si="53"/>
        <v>0</v>
      </c>
      <c r="AD211" s="70">
        <f t="shared" si="54"/>
        <v>290040</v>
      </c>
      <c r="AE211" s="71">
        <f t="shared" si="55"/>
        <v>473.92156862745099</v>
      </c>
      <c r="AF211" s="193">
        <f t="shared" si="56"/>
        <v>265.64120101988487</v>
      </c>
      <c r="AG211" s="185">
        <f t="shared" si="57"/>
        <v>5.1544339790296784E-3</v>
      </c>
      <c r="AH211" s="180">
        <f t="shared" si="47"/>
        <v>1.9233421750663129E-2</v>
      </c>
      <c r="AI211" s="189">
        <v>612</v>
      </c>
      <c r="AJ211" s="125">
        <v>1091.8487</v>
      </c>
      <c r="AK211" s="149">
        <v>267</v>
      </c>
      <c r="AL211" s="221">
        <v>161</v>
      </c>
      <c r="AM211" s="216">
        <v>81.385281385281388</v>
      </c>
      <c r="AN211" s="213">
        <v>3.52112676056338</v>
      </c>
      <c r="AO211" s="127">
        <v>11.254</v>
      </c>
      <c r="AP211" s="133">
        <v>3.016</v>
      </c>
      <c r="AQ211" s="224">
        <f t="shared" si="58"/>
        <v>1.2993630573248407</v>
      </c>
      <c r="AR211" s="158">
        <v>471</v>
      </c>
      <c r="AS211" s="229">
        <f t="shared" si="59"/>
        <v>0.68227424749163879</v>
      </c>
      <c r="AT211" s="230">
        <v>897</v>
      </c>
      <c r="AU211" s="203">
        <v>15.522875816993464</v>
      </c>
      <c r="AV211" s="204">
        <v>69.117647058823536</v>
      </c>
      <c r="AW211" s="205">
        <v>15.359477124183007</v>
      </c>
      <c r="AX211" s="123">
        <v>2.8571</v>
      </c>
      <c r="AY211" s="281">
        <v>4.9822064056939501</v>
      </c>
      <c r="AZ211" s="282">
        <v>44.839857651245552</v>
      </c>
      <c r="BA211" s="283">
        <f t="shared" si="60"/>
        <v>50.177935943060504</v>
      </c>
      <c r="BB211" s="234">
        <v>79.090909090909079</v>
      </c>
      <c r="BC211" s="20">
        <v>2012</v>
      </c>
      <c r="BD211" s="263" t="s">
        <v>556</v>
      </c>
      <c r="BE211" s="261" t="s">
        <v>556</v>
      </c>
      <c r="BF211" s="259" t="s">
        <v>556</v>
      </c>
      <c r="BG211" s="257" t="s">
        <v>1686</v>
      </c>
      <c r="BH211" s="248" t="s">
        <v>556</v>
      </c>
      <c r="BI211" s="249">
        <v>32.918149466192169</v>
      </c>
      <c r="BJ211" s="308" t="s">
        <v>556</v>
      </c>
      <c r="BK211" s="307" t="s">
        <v>750</v>
      </c>
      <c r="BL211" s="319" t="s">
        <v>1728</v>
      </c>
      <c r="BM211" s="320" t="s">
        <v>557</v>
      </c>
      <c r="BN211" s="321" t="s">
        <v>1803</v>
      </c>
      <c r="BO211" s="145" t="s">
        <v>556</v>
      </c>
      <c r="BP211" s="14" t="s">
        <v>556</v>
      </c>
      <c r="BQ211" s="14" t="s">
        <v>557</v>
      </c>
      <c r="BR211" s="72"/>
    </row>
    <row r="212" spans="1:70" s="80" customFormat="1" ht="13.95" customHeight="1" x14ac:dyDescent="0.3">
      <c r="A212" s="56" t="s">
        <v>459</v>
      </c>
      <c r="B212" s="57" t="s">
        <v>462</v>
      </c>
      <c r="C212" s="55" t="s">
        <v>342</v>
      </c>
      <c r="D212" s="58">
        <v>1</v>
      </c>
      <c r="E212" s="59"/>
      <c r="F212" s="60" t="s">
        <v>455</v>
      </c>
      <c r="G212" s="61" t="s">
        <v>528</v>
      </c>
      <c r="H212" s="61" t="s">
        <v>336</v>
      </c>
      <c r="I212" s="62" t="s">
        <v>336</v>
      </c>
      <c r="J212" s="63" t="s">
        <v>2059</v>
      </c>
      <c r="K212" s="99" t="s">
        <v>1466</v>
      </c>
      <c r="L212" s="130">
        <v>494544506</v>
      </c>
      <c r="M212" s="109" t="s">
        <v>564</v>
      </c>
      <c r="N212" s="12" t="s">
        <v>1465</v>
      </c>
      <c r="O212" s="100"/>
      <c r="P212" s="131"/>
      <c r="Q212" s="67"/>
      <c r="R212" s="68"/>
      <c r="S212" s="99"/>
      <c r="T212" s="112"/>
      <c r="U212" s="170">
        <v>994200</v>
      </c>
      <c r="V212" s="48">
        <f t="shared" si="48"/>
        <v>3488.4210526315787</v>
      </c>
      <c r="W212" s="171">
        <f t="shared" si="49"/>
        <v>2248.4666461616398</v>
      </c>
      <c r="X212" s="69">
        <v>0</v>
      </c>
      <c r="Y212" s="48">
        <f t="shared" si="50"/>
        <v>0</v>
      </c>
      <c r="Z212" s="137">
        <f t="shared" si="51"/>
        <v>0</v>
      </c>
      <c r="AA212" s="69">
        <v>0</v>
      </c>
      <c r="AB212" s="48">
        <f t="shared" si="52"/>
        <v>0</v>
      </c>
      <c r="AC212" s="137">
        <f t="shared" si="53"/>
        <v>0</v>
      </c>
      <c r="AD212" s="70">
        <f t="shared" si="54"/>
        <v>994200</v>
      </c>
      <c r="AE212" s="71">
        <f t="shared" si="55"/>
        <v>3488.4210526315787</v>
      </c>
      <c r="AF212" s="193">
        <f t="shared" si="56"/>
        <v>2248.4666461616398</v>
      </c>
      <c r="AG212" s="185">
        <f t="shared" si="57"/>
        <v>7.9599679743795032E-2</v>
      </c>
      <c r="AH212" s="180">
        <f t="shared" si="47"/>
        <v>0.25459667093469912</v>
      </c>
      <c r="AI212" s="189">
        <v>285</v>
      </c>
      <c r="AJ212" s="125">
        <v>442.16800000000001</v>
      </c>
      <c r="AK212" s="149">
        <v>115</v>
      </c>
      <c r="AL212" s="221">
        <v>83</v>
      </c>
      <c r="AM212" s="216">
        <v>93.203883495145632</v>
      </c>
      <c r="AN212" s="213">
        <v>2.459016393442623</v>
      </c>
      <c r="AO212" s="127">
        <v>2.4980000000000002</v>
      </c>
      <c r="AP212" s="133">
        <v>0.78100000000000003</v>
      </c>
      <c r="AQ212" s="224">
        <f t="shared" si="58"/>
        <v>1.11328125</v>
      </c>
      <c r="AR212" s="158">
        <v>256</v>
      </c>
      <c r="AS212" s="229">
        <f t="shared" si="59"/>
        <v>0.77027027027027029</v>
      </c>
      <c r="AT212" s="230">
        <v>370</v>
      </c>
      <c r="AU212" s="203">
        <v>18.596491228070175</v>
      </c>
      <c r="AV212" s="204">
        <v>64.912280701754383</v>
      </c>
      <c r="AW212" s="205">
        <v>16.491228070175438</v>
      </c>
      <c r="AX212" s="123">
        <v>4.2328000000000001</v>
      </c>
      <c r="AY212" s="281">
        <v>6.0606060606060606</v>
      </c>
      <c r="AZ212" s="282">
        <v>40.909090909090914</v>
      </c>
      <c r="BA212" s="283">
        <f t="shared" si="60"/>
        <v>53.030303030303024</v>
      </c>
      <c r="BB212" s="234">
        <v>60.563380281690144</v>
      </c>
      <c r="BC212" s="20">
        <v>2013</v>
      </c>
      <c r="BD212" s="264" t="s">
        <v>557</v>
      </c>
      <c r="BE212" s="261" t="s">
        <v>556</v>
      </c>
      <c r="BF212" s="260" t="s">
        <v>557</v>
      </c>
      <c r="BG212" s="256">
        <v>7.782101167315175</v>
      </c>
      <c r="BH212" s="248" t="s">
        <v>556</v>
      </c>
      <c r="BI212" s="249">
        <v>32.644628099173559</v>
      </c>
      <c r="BJ212" s="309" t="s">
        <v>557</v>
      </c>
      <c r="BK212" s="307" t="s">
        <v>557</v>
      </c>
      <c r="BL212" s="319" t="s">
        <v>557</v>
      </c>
      <c r="BM212" s="320" t="s">
        <v>556</v>
      </c>
      <c r="BN212" s="321" t="s">
        <v>1957</v>
      </c>
      <c r="BO212" s="145" t="s">
        <v>557</v>
      </c>
      <c r="BP212" s="14" t="s">
        <v>557</v>
      </c>
      <c r="BQ212" s="14" t="s">
        <v>557</v>
      </c>
      <c r="BR212" s="56"/>
    </row>
    <row r="213" spans="1:70" s="56" customFormat="1" ht="13.95" customHeight="1" x14ac:dyDescent="0.3">
      <c r="A213" s="56" t="s">
        <v>459</v>
      </c>
      <c r="B213" s="57" t="s">
        <v>462</v>
      </c>
      <c r="C213" s="55" t="s">
        <v>58</v>
      </c>
      <c r="D213" s="58">
        <v>1</v>
      </c>
      <c r="E213" s="97" t="s">
        <v>611</v>
      </c>
      <c r="F213" s="60" t="s">
        <v>452</v>
      </c>
      <c r="G213" s="61" t="s">
        <v>11</v>
      </c>
      <c r="H213" s="61" t="s">
        <v>13</v>
      </c>
      <c r="I213" s="62" t="s">
        <v>13</v>
      </c>
      <c r="J213" s="63" t="s">
        <v>2060</v>
      </c>
      <c r="K213" s="99" t="s">
        <v>881</v>
      </c>
      <c r="L213" s="130">
        <v>495426013</v>
      </c>
      <c r="M213" s="109" t="s">
        <v>564</v>
      </c>
      <c r="N213" s="12" t="s">
        <v>880</v>
      </c>
      <c r="O213" s="100"/>
      <c r="P213" s="131">
        <v>724181463</v>
      </c>
      <c r="Q213" s="67"/>
      <c r="R213" s="68"/>
      <c r="S213" s="99"/>
      <c r="T213" s="65"/>
      <c r="U213" s="170">
        <v>416447</v>
      </c>
      <c r="V213" s="48">
        <f t="shared" si="48"/>
        <v>3253.4921875</v>
      </c>
      <c r="W213" s="171">
        <f t="shared" si="49"/>
        <v>1240.1287039229087</v>
      </c>
      <c r="X213" s="69">
        <v>138510</v>
      </c>
      <c r="Y213" s="48">
        <f t="shared" si="50"/>
        <v>1082.109375</v>
      </c>
      <c r="Z213" s="137">
        <f t="shared" si="51"/>
        <v>412.46599634614267</v>
      </c>
      <c r="AA213" s="69">
        <v>0</v>
      </c>
      <c r="AB213" s="48">
        <f t="shared" si="52"/>
        <v>0</v>
      </c>
      <c r="AC213" s="137">
        <f t="shared" si="53"/>
        <v>0</v>
      </c>
      <c r="AD213" s="70">
        <f t="shared" si="54"/>
        <v>554957</v>
      </c>
      <c r="AE213" s="71">
        <f t="shared" si="55"/>
        <v>4335.6015625</v>
      </c>
      <c r="AF213" s="193">
        <f t="shared" si="56"/>
        <v>1652.5947002690514</v>
      </c>
      <c r="AG213" s="246">
        <f t="shared" si="57"/>
        <v>0.11960280172413792</v>
      </c>
      <c r="AH213" s="180">
        <f t="shared" si="47"/>
        <v>18.498566666666669</v>
      </c>
      <c r="AI213" s="189">
        <v>128</v>
      </c>
      <c r="AJ213" s="125">
        <v>335.80950000000001</v>
      </c>
      <c r="AK213" s="149">
        <v>64</v>
      </c>
      <c r="AL213" s="221">
        <v>38</v>
      </c>
      <c r="AM213" s="216">
        <v>84.090909090909093</v>
      </c>
      <c r="AN213" s="213">
        <v>15.384615384615383</v>
      </c>
      <c r="AO213" s="127">
        <v>0.92800000000000005</v>
      </c>
      <c r="AP213" s="133">
        <v>6.0000000000000001E-3</v>
      </c>
      <c r="AQ213" s="224">
        <f t="shared" si="58"/>
        <v>0.92086330935251803</v>
      </c>
      <c r="AR213" s="158">
        <v>139</v>
      </c>
      <c r="AS213" s="229">
        <f t="shared" si="59"/>
        <v>0.44290657439446368</v>
      </c>
      <c r="AT213" s="230">
        <v>289</v>
      </c>
      <c r="AU213" s="203">
        <v>8.6</v>
      </c>
      <c r="AV213" s="204">
        <v>65</v>
      </c>
      <c r="AW213" s="205">
        <v>21.7</v>
      </c>
      <c r="AX213" s="123">
        <v>7.61</v>
      </c>
      <c r="AY213" s="281">
        <v>8.1632653061224492</v>
      </c>
      <c r="AZ213" s="282">
        <v>32.653061224489797</v>
      </c>
      <c r="BA213" s="283">
        <f t="shared" si="60"/>
        <v>59.183673469387749</v>
      </c>
      <c r="BB213" s="234">
        <v>100</v>
      </c>
      <c r="BC213" s="20">
        <v>2005</v>
      </c>
      <c r="BD213" s="263" t="s">
        <v>556</v>
      </c>
      <c r="BE213" s="261" t="s">
        <v>556</v>
      </c>
      <c r="BF213" s="260" t="s">
        <v>557</v>
      </c>
      <c r="BG213" s="256">
        <v>3.9370078740157481</v>
      </c>
      <c r="BH213" s="248" t="s">
        <v>556</v>
      </c>
      <c r="BI213" s="249">
        <v>56.92307692307692</v>
      </c>
      <c r="BJ213" s="309" t="s">
        <v>557</v>
      </c>
      <c r="BK213" s="307" t="s">
        <v>557</v>
      </c>
      <c r="BL213" s="319" t="s">
        <v>1728</v>
      </c>
      <c r="BM213" s="320" t="s">
        <v>557</v>
      </c>
      <c r="BN213" s="321" t="s">
        <v>557</v>
      </c>
      <c r="BO213" s="145" t="s">
        <v>999</v>
      </c>
      <c r="BP213" s="14" t="s">
        <v>556</v>
      </c>
      <c r="BQ213" s="14" t="s">
        <v>557</v>
      </c>
    </row>
    <row r="214" spans="1:70" s="56" customFormat="1" ht="13.95" customHeight="1" x14ac:dyDescent="0.3">
      <c r="A214" s="56" t="s">
        <v>459</v>
      </c>
      <c r="B214" s="57" t="s">
        <v>462</v>
      </c>
      <c r="C214" s="55" t="s">
        <v>58</v>
      </c>
      <c r="D214" s="58">
        <v>1</v>
      </c>
      <c r="E214" s="59"/>
      <c r="F214" s="60" t="s">
        <v>453</v>
      </c>
      <c r="G214" s="61" t="s">
        <v>113</v>
      </c>
      <c r="H214" s="61" t="s">
        <v>113</v>
      </c>
      <c r="I214" s="62" t="s">
        <v>113</v>
      </c>
      <c r="J214" s="63" t="s">
        <v>2061</v>
      </c>
      <c r="K214" s="99" t="s">
        <v>1101</v>
      </c>
      <c r="L214" s="130">
        <v>493597178</v>
      </c>
      <c r="M214" s="109" t="s">
        <v>564</v>
      </c>
      <c r="N214" s="12" t="s">
        <v>1100</v>
      </c>
      <c r="O214" s="100" t="s">
        <v>2062</v>
      </c>
      <c r="P214" s="131">
        <v>725082486</v>
      </c>
      <c r="Q214" s="67"/>
      <c r="R214" s="68"/>
      <c r="S214" s="99"/>
      <c r="T214" s="65"/>
      <c r="U214" s="170">
        <v>416447</v>
      </c>
      <c r="V214" s="48">
        <f t="shared" si="48"/>
        <v>694.07833333333338</v>
      </c>
      <c r="W214" s="171">
        <f t="shared" si="49"/>
        <v>333.27784664707025</v>
      </c>
      <c r="X214" s="69">
        <v>138510</v>
      </c>
      <c r="Y214" s="48">
        <f t="shared" si="50"/>
        <v>230.85</v>
      </c>
      <c r="Z214" s="137">
        <f t="shared" si="51"/>
        <v>110.84799395621941</v>
      </c>
      <c r="AA214" s="69">
        <v>0</v>
      </c>
      <c r="AB214" s="48">
        <f t="shared" si="52"/>
        <v>0</v>
      </c>
      <c r="AC214" s="137">
        <f t="shared" si="53"/>
        <v>0</v>
      </c>
      <c r="AD214" s="70">
        <f t="shared" si="54"/>
        <v>554957</v>
      </c>
      <c r="AE214" s="71">
        <f t="shared" si="55"/>
        <v>924.92833333333328</v>
      </c>
      <c r="AF214" s="193">
        <f t="shared" si="56"/>
        <v>444.1258406032897</v>
      </c>
      <c r="AG214" s="185">
        <f t="shared" si="57"/>
        <v>1.6167720320466133E-2</v>
      </c>
      <c r="AH214" s="180">
        <f t="shared" si="47"/>
        <v>3.9067722632875744E-2</v>
      </c>
      <c r="AI214" s="189">
        <v>600</v>
      </c>
      <c r="AJ214" s="125">
        <v>1249.549</v>
      </c>
      <c r="AK214" s="149">
        <v>280</v>
      </c>
      <c r="AL214" s="221">
        <v>156</v>
      </c>
      <c r="AM214" s="216">
        <v>91.919191919191917</v>
      </c>
      <c r="AN214" s="213">
        <v>12.546125461254613</v>
      </c>
      <c r="AO214" s="127">
        <v>6.8650000000000002</v>
      </c>
      <c r="AP214" s="133">
        <v>2.8410000000000002</v>
      </c>
      <c r="AQ214" s="224">
        <f t="shared" si="58"/>
        <v>1.2958963282937366</v>
      </c>
      <c r="AR214" s="158">
        <v>463</v>
      </c>
      <c r="AS214" s="229">
        <f t="shared" si="59"/>
        <v>0.71770334928229662</v>
      </c>
      <c r="AT214" s="230">
        <v>836</v>
      </c>
      <c r="AU214" s="203">
        <v>16.7</v>
      </c>
      <c r="AV214" s="204">
        <v>69.53125</v>
      </c>
      <c r="AW214" s="205">
        <v>21.875</v>
      </c>
      <c r="AX214" s="123">
        <v>3.65</v>
      </c>
      <c r="AY214" s="281">
        <v>12.686567164179104</v>
      </c>
      <c r="AZ214" s="282">
        <v>31.716417910447763</v>
      </c>
      <c r="BA214" s="283">
        <f t="shared" si="60"/>
        <v>55.597014925373131</v>
      </c>
      <c r="BB214" s="234">
        <v>82.051282051282058</v>
      </c>
      <c r="BC214" s="20">
        <v>2001</v>
      </c>
      <c r="BD214" s="263" t="s">
        <v>556</v>
      </c>
      <c r="BE214" s="261" t="s">
        <v>556</v>
      </c>
      <c r="BF214" s="259" t="s">
        <v>556</v>
      </c>
      <c r="BG214" s="256">
        <v>86.120996441281136</v>
      </c>
      <c r="BH214" s="254" t="s">
        <v>557</v>
      </c>
      <c r="BI214" s="249">
        <v>0</v>
      </c>
      <c r="BJ214" s="308" t="s">
        <v>556</v>
      </c>
      <c r="BK214" s="307" t="s">
        <v>750</v>
      </c>
      <c r="BL214" s="319" t="s">
        <v>1728</v>
      </c>
      <c r="BM214" s="320" t="s">
        <v>556</v>
      </c>
      <c r="BN214" s="321" t="s">
        <v>2063</v>
      </c>
      <c r="BO214" s="145" t="s">
        <v>556</v>
      </c>
      <c r="BP214" s="14" t="s">
        <v>556</v>
      </c>
      <c r="BQ214" s="14" t="s">
        <v>557</v>
      </c>
    </row>
    <row r="215" spans="1:70" s="56" customFormat="1" ht="13.95" customHeight="1" x14ac:dyDescent="0.3">
      <c r="A215" s="56" t="s">
        <v>459</v>
      </c>
      <c r="B215" s="57" t="s">
        <v>462</v>
      </c>
      <c r="C215" s="55" t="s">
        <v>59</v>
      </c>
      <c r="D215" s="58">
        <v>1</v>
      </c>
      <c r="E215" s="59"/>
      <c r="F215" s="60" t="s">
        <v>452</v>
      </c>
      <c r="G215" s="61" t="s">
        <v>7</v>
      </c>
      <c r="H215" s="61" t="s">
        <v>7</v>
      </c>
      <c r="I215" s="62" t="s">
        <v>7</v>
      </c>
      <c r="J215" s="63" t="s">
        <v>2065</v>
      </c>
      <c r="K215" s="99" t="s">
        <v>2064</v>
      </c>
      <c r="L215" s="130">
        <v>495482103</v>
      </c>
      <c r="M215" s="109" t="s">
        <v>564</v>
      </c>
      <c r="N215" s="12" t="s">
        <v>883</v>
      </c>
      <c r="O215" s="100" t="s">
        <v>882</v>
      </c>
      <c r="P215" s="131">
        <v>724187619</v>
      </c>
      <c r="Q215" s="67"/>
      <c r="R215" s="68"/>
      <c r="S215" s="99"/>
      <c r="T215" s="65"/>
      <c r="U215" s="170">
        <v>0</v>
      </c>
      <c r="V215" s="48">
        <f t="shared" si="48"/>
        <v>0</v>
      </c>
      <c r="W215" s="171">
        <f t="shared" si="49"/>
        <v>0</v>
      </c>
      <c r="X215" s="69">
        <v>228931</v>
      </c>
      <c r="Y215" s="48">
        <f t="shared" si="50"/>
        <v>468.16155419222906</v>
      </c>
      <c r="Z215" s="137">
        <f t="shared" si="51"/>
        <v>195.59147473345621</v>
      </c>
      <c r="AA215" s="69">
        <v>0</v>
      </c>
      <c r="AB215" s="48">
        <f t="shared" si="52"/>
        <v>0</v>
      </c>
      <c r="AC215" s="137">
        <f t="shared" si="53"/>
        <v>0</v>
      </c>
      <c r="AD215" s="70">
        <f t="shared" si="54"/>
        <v>228931</v>
      </c>
      <c r="AE215" s="71">
        <f t="shared" si="55"/>
        <v>468.16155419222906</v>
      </c>
      <c r="AF215" s="193">
        <f t="shared" si="56"/>
        <v>195.59147473345621</v>
      </c>
      <c r="AG215" s="185">
        <f t="shared" si="57"/>
        <v>4.8631120552310152E-3</v>
      </c>
      <c r="AH215" s="180">
        <f t="shared" si="47"/>
        <v>1.0995725264169068E-2</v>
      </c>
      <c r="AI215" s="189">
        <v>489</v>
      </c>
      <c r="AJ215" s="125">
        <v>1170.4549</v>
      </c>
      <c r="AK215" s="149">
        <v>244</v>
      </c>
      <c r="AL215" s="221">
        <v>167</v>
      </c>
      <c r="AM215" s="216">
        <v>93.298969072164951</v>
      </c>
      <c r="AN215" s="213">
        <v>3.4615384615384612</v>
      </c>
      <c r="AO215" s="127">
        <v>9.4149999999999991</v>
      </c>
      <c r="AP215" s="133">
        <v>4.1639999999999997</v>
      </c>
      <c r="AQ215" s="224">
        <f t="shared" si="58"/>
        <v>0.88108108108108107</v>
      </c>
      <c r="AR215" s="158">
        <v>555</v>
      </c>
      <c r="AS215" s="229">
        <f t="shared" si="59"/>
        <v>0.46438746438746437</v>
      </c>
      <c r="AT215" s="230">
        <v>1053</v>
      </c>
      <c r="AU215" s="203">
        <v>13.292433537832309</v>
      </c>
      <c r="AV215" s="204">
        <v>68</v>
      </c>
      <c r="AW215" s="205">
        <v>15.3</v>
      </c>
      <c r="AX215" s="123">
        <v>7.8078000000000003</v>
      </c>
      <c r="AY215" s="281">
        <v>15.207373271889402</v>
      </c>
      <c r="AZ215" s="282">
        <v>36.866359447004612</v>
      </c>
      <c r="BA215" s="283">
        <f t="shared" si="60"/>
        <v>47.926267281105993</v>
      </c>
      <c r="BB215" s="234">
        <v>84.158415841584159</v>
      </c>
      <c r="BC215" s="20">
        <v>2006</v>
      </c>
      <c r="BD215" s="263" t="s">
        <v>556</v>
      </c>
      <c r="BE215" s="261" t="s">
        <v>556</v>
      </c>
      <c r="BF215" s="259" t="s">
        <v>556</v>
      </c>
      <c r="BG215" s="256">
        <v>83.09572301425662</v>
      </c>
      <c r="BH215" s="248" t="s">
        <v>556</v>
      </c>
      <c r="BI215" s="249">
        <v>56.910569105691053</v>
      </c>
      <c r="BJ215" s="309" t="s">
        <v>557</v>
      </c>
      <c r="BK215" s="307" t="s">
        <v>557</v>
      </c>
      <c r="BL215" s="319" t="s">
        <v>1728</v>
      </c>
      <c r="BM215" s="320" t="s">
        <v>556</v>
      </c>
      <c r="BN215" s="321" t="s">
        <v>1957</v>
      </c>
      <c r="BO215" s="145" t="s">
        <v>556</v>
      </c>
      <c r="BP215" s="14" t="s">
        <v>556</v>
      </c>
      <c r="BQ215" s="14" t="s">
        <v>557</v>
      </c>
    </row>
    <row r="216" spans="1:70" s="56" customFormat="1" ht="13.95" customHeight="1" x14ac:dyDescent="0.3">
      <c r="A216" s="56" t="s">
        <v>459</v>
      </c>
      <c r="B216" s="57" t="s">
        <v>463</v>
      </c>
      <c r="C216" s="55" t="s">
        <v>261</v>
      </c>
      <c r="D216" s="58">
        <v>4</v>
      </c>
      <c r="E216" s="59" t="s">
        <v>653</v>
      </c>
      <c r="F216" s="60" t="s">
        <v>454</v>
      </c>
      <c r="G216" s="61" t="s">
        <v>226</v>
      </c>
      <c r="H216" s="61" t="s">
        <v>1227</v>
      </c>
      <c r="I216" s="62" t="s">
        <v>1227</v>
      </c>
      <c r="J216" s="63" t="s">
        <v>2068</v>
      </c>
      <c r="K216" s="101" t="s">
        <v>2067</v>
      </c>
      <c r="L216" s="130">
        <v>491547121</v>
      </c>
      <c r="M216" s="109" t="s">
        <v>564</v>
      </c>
      <c r="N216" s="12" t="s">
        <v>1312</v>
      </c>
      <c r="O216" s="100" t="s">
        <v>1313</v>
      </c>
      <c r="P216" s="131" t="s">
        <v>2066</v>
      </c>
      <c r="Q216" s="67"/>
      <c r="R216" s="68"/>
      <c r="S216" s="99"/>
      <c r="T216" s="65"/>
      <c r="U216" s="170">
        <f>21268+10280+218200</f>
        <v>249748</v>
      </c>
      <c r="V216" s="48">
        <f t="shared" si="48"/>
        <v>231.67717996289426</v>
      </c>
      <c r="W216" s="171">
        <f t="shared" si="49"/>
        <v>128.75392883065081</v>
      </c>
      <c r="X216" s="69">
        <v>191600</v>
      </c>
      <c r="Y216" s="48">
        <f t="shared" si="50"/>
        <v>177.73654916512061</v>
      </c>
      <c r="Z216" s="137">
        <f t="shared" si="51"/>
        <v>98.776577846279835</v>
      </c>
      <c r="AA216" s="69">
        <v>0</v>
      </c>
      <c r="AB216" s="48">
        <f t="shared" si="52"/>
        <v>0</v>
      </c>
      <c r="AC216" s="137">
        <f t="shared" si="53"/>
        <v>0</v>
      </c>
      <c r="AD216" s="70">
        <f t="shared" si="54"/>
        <v>441348</v>
      </c>
      <c r="AE216" s="71">
        <f t="shared" si="55"/>
        <v>409.41372912801484</v>
      </c>
      <c r="AF216" s="193">
        <f t="shared" si="56"/>
        <v>227.53050667693063</v>
      </c>
      <c r="AG216" s="185">
        <f t="shared" si="57"/>
        <v>8.3564896336268107E-3</v>
      </c>
      <c r="AH216" s="180">
        <f t="shared" si="47"/>
        <v>6.7795391705069125E-2</v>
      </c>
      <c r="AI216" s="189">
        <v>1078</v>
      </c>
      <c r="AJ216" s="125">
        <v>1939.7311</v>
      </c>
      <c r="AK216" s="149">
        <v>576</v>
      </c>
      <c r="AL216" s="221">
        <v>320</v>
      </c>
      <c r="AM216" s="216">
        <v>87.828162291169448</v>
      </c>
      <c r="AN216" s="213">
        <v>19.800332778702163</v>
      </c>
      <c r="AO216" s="127">
        <v>10.563000000000001</v>
      </c>
      <c r="AP216" s="133">
        <v>1.302</v>
      </c>
      <c r="AQ216" s="224">
        <f t="shared" si="58"/>
        <v>0.93984306887532698</v>
      </c>
      <c r="AR216" s="158">
        <v>1147</v>
      </c>
      <c r="AS216" s="229">
        <f t="shared" si="59"/>
        <v>0.57218683651804669</v>
      </c>
      <c r="AT216" s="230">
        <v>1884</v>
      </c>
      <c r="AU216" s="203">
        <v>13.729128014842301</v>
      </c>
      <c r="AV216" s="204">
        <v>64.656771799628942</v>
      </c>
      <c r="AW216" s="205">
        <v>21.614100185528756</v>
      </c>
      <c r="AX216" s="123">
        <v>5.1355000000000004</v>
      </c>
      <c r="AY216" s="281">
        <v>7.7753779697624186</v>
      </c>
      <c r="AZ216" s="282">
        <v>41.46868250539957</v>
      </c>
      <c r="BA216" s="283">
        <f t="shared" si="60"/>
        <v>50.755939524838013</v>
      </c>
      <c r="BB216" s="234">
        <v>94.252873563218387</v>
      </c>
      <c r="BC216" s="20">
        <v>2008</v>
      </c>
      <c r="BD216" s="263" t="s">
        <v>556</v>
      </c>
      <c r="BE216" s="261" t="s">
        <v>556</v>
      </c>
      <c r="BF216" s="259" t="s">
        <v>556</v>
      </c>
      <c r="BG216" s="256">
        <v>57.412653446647774</v>
      </c>
      <c r="BH216" s="248" t="s">
        <v>556</v>
      </c>
      <c r="BI216" s="249">
        <v>56.97445972495089</v>
      </c>
      <c r="BJ216" s="308" t="s">
        <v>556</v>
      </c>
      <c r="BK216" s="307" t="s">
        <v>556</v>
      </c>
      <c r="BL216" s="319" t="s">
        <v>1728</v>
      </c>
      <c r="BM216" s="320" t="s">
        <v>556</v>
      </c>
      <c r="BN216" s="321" t="s">
        <v>1996</v>
      </c>
      <c r="BO216" s="145" t="s">
        <v>556</v>
      </c>
      <c r="BP216" s="14">
        <v>2</v>
      </c>
      <c r="BQ216" s="14" t="s">
        <v>557</v>
      </c>
      <c r="BR216" s="72"/>
    </row>
    <row r="217" spans="1:70" s="56" customFormat="1" ht="13.95" customHeight="1" x14ac:dyDescent="0.3">
      <c r="A217" s="3" t="s">
        <v>459</v>
      </c>
      <c r="B217" s="57" t="s">
        <v>462</v>
      </c>
      <c r="C217" s="55" t="s">
        <v>426</v>
      </c>
      <c r="D217" s="58">
        <v>2</v>
      </c>
      <c r="E217" s="59" t="s">
        <v>733</v>
      </c>
      <c r="F217" s="60" t="s">
        <v>456</v>
      </c>
      <c r="G217" s="61" t="s">
        <v>378</v>
      </c>
      <c r="H217" s="61" t="s">
        <v>532</v>
      </c>
      <c r="I217" s="62" t="s">
        <v>378</v>
      </c>
      <c r="J217" s="117" t="s">
        <v>2076</v>
      </c>
      <c r="K217" s="100" t="s">
        <v>2077</v>
      </c>
      <c r="L217" s="131">
        <v>499891157</v>
      </c>
      <c r="M217" s="109" t="s">
        <v>564</v>
      </c>
      <c r="N217" s="12" t="s">
        <v>1614</v>
      </c>
      <c r="O217" s="100" t="s">
        <v>1615</v>
      </c>
      <c r="P217" s="131"/>
      <c r="Q217" s="84"/>
      <c r="R217" s="3"/>
      <c r="S217" s="2"/>
      <c r="T217" s="241"/>
      <c r="U217" s="170">
        <v>60551</v>
      </c>
      <c r="V217" s="48">
        <f t="shared" si="48"/>
        <v>420.49305555555554</v>
      </c>
      <c r="W217" s="171">
        <f t="shared" si="49"/>
        <v>22.711325108731252</v>
      </c>
      <c r="X217" s="69">
        <v>372315</v>
      </c>
      <c r="Y217" s="48">
        <f t="shared" si="50"/>
        <v>2585.5208333333335</v>
      </c>
      <c r="Z217" s="137">
        <f t="shared" si="51"/>
        <v>139.64702495181379</v>
      </c>
      <c r="AA217" s="69">
        <v>0</v>
      </c>
      <c r="AB217" s="48">
        <f t="shared" si="52"/>
        <v>0</v>
      </c>
      <c r="AC217" s="137">
        <f t="shared" si="53"/>
        <v>0</v>
      </c>
      <c r="AD217" s="70">
        <f t="shared" si="54"/>
        <v>432866</v>
      </c>
      <c r="AE217" s="71">
        <f t="shared" si="55"/>
        <v>3006.0138888888887</v>
      </c>
      <c r="AF217" s="193">
        <f t="shared" si="56"/>
        <v>162.35835006054504</v>
      </c>
      <c r="AG217" s="185">
        <f t="shared" si="57"/>
        <v>7.9578270061586541E-3</v>
      </c>
      <c r="AH217" s="180">
        <f t="shared" si="47"/>
        <v>2.8496774193548388E-2</v>
      </c>
      <c r="AI217" s="189">
        <v>144</v>
      </c>
      <c r="AJ217" s="125">
        <v>2666.1147999999998</v>
      </c>
      <c r="AK217" s="149">
        <v>241</v>
      </c>
      <c r="AL217" s="221">
        <v>51</v>
      </c>
      <c r="AM217" s="216">
        <v>55.000000000000007</v>
      </c>
      <c r="AN217" s="213">
        <v>66.222222222222229</v>
      </c>
      <c r="AO217" s="127">
        <v>10.879</v>
      </c>
      <c r="AP217" s="133">
        <v>3.0379999999999998</v>
      </c>
      <c r="AQ217" s="224">
        <f t="shared" si="58"/>
        <v>1.8461538461538463</v>
      </c>
      <c r="AR217" s="158">
        <v>78</v>
      </c>
      <c r="AS217" s="229">
        <f t="shared" si="59"/>
        <v>0.14830072090628219</v>
      </c>
      <c r="AT217" s="230">
        <v>971</v>
      </c>
      <c r="AU217" s="203">
        <v>19.444444444444446</v>
      </c>
      <c r="AV217" s="204">
        <v>72.222222222222229</v>
      </c>
      <c r="AW217" s="205">
        <v>8.3333333333333321</v>
      </c>
      <c r="AX217" s="123">
        <v>10.4762</v>
      </c>
      <c r="AY217" s="281">
        <v>6.0975609756097562</v>
      </c>
      <c r="AZ217" s="282">
        <v>1.2195121951219512</v>
      </c>
      <c r="BA217" s="283">
        <f t="shared" si="60"/>
        <v>92.682926829268297</v>
      </c>
      <c r="BB217" s="234">
        <v>12.903225806451614</v>
      </c>
      <c r="BC217" s="19">
        <v>2006</v>
      </c>
      <c r="BD217" s="263" t="s">
        <v>556</v>
      </c>
      <c r="BE217" s="261" t="s">
        <v>556</v>
      </c>
      <c r="BF217" s="259" t="s">
        <v>556</v>
      </c>
      <c r="BG217" s="256">
        <v>54.140127388535028</v>
      </c>
      <c r="BH217" s="254" t="s">
        <v>557</v>
      </c>
      <c r="BI217" s="249">
        <v>0</v>
      </c>
      <c r="BJ217" s="309" t="s">
        <v>557</v>
      </c>
      <c r="BK217" s="307" t="s">
        <v>557</v>
      </c>
      <c r="BL217" s="319" t="s">
        <v>1728</v>
      </c>
      <c r="BM217" s="320" t="s">
        <v>557</v>
      </c>
      <c r="BN217" s="321" t="s">
        <v>2078</v>
      </c>
      <c r="BO217" s="21" t="s">
        <v>999</v>
      </c>
      <c r="BP217" s="10" t="s">
        <v>557</v>
      </c>
      <c r="BQ217" s="10" t="s">
        <v>557</v>
      </c>
      <c r="BR217" s="3"/>
    </row>
    <row r="218" spans="1:70" s="56" customFormat="1" ht="13.95" customHeight="1" x14ac:dyDescent="0.3">
      <c r="A218" s="56" t="s">
        <v>459</v>
      </c>
      <c r="B218" s="57" t="s">
        <v>462</v>
      </c>
      <c r="C218" s="55" t="s">
        <v>427</v>
      </c>
      <c r="D218" s="58">
        <v>4</v>
      </c>
      <c r="E218" s="59" t="s">
        <v>734</v>
      </c>
      <c r="F218" s="60" t="s">
        <v>456</v>
      </c>
      <c r="G218" s="61" t="s">
        <v>378</v>
      </c>
      <c r="H218" s="61" t="s">
        <v>379</v>
      </c>
      <c r="I218" s="62" t="s">
        <v>533</v>
      </c>
      <c r="J218" s="63" t="s">
        <v>2079</v>
      </c>
      <c r="K218" s="99" t="s">
        <v>2080</v>
      </c>
      <c r="L218" s="130">
        <v>499886341</v>
      </c>
      <c r="M218" s="109" t="s">
        <v>564</v>
      </c>
      <c r="N218" s="12" t="s">
        <v>1616</v>
      </c>
      <c r="O218" s="100" t="s">
        <v>1617</v>
      </c>
      <c r="P218" s="131">
        <v>724149599</v>
      </c>
      <c r="Q218" s="84"/>
      <c r="S218" s="105"/>
      <c r="T218" s="112"/>
      <c r="U218" s="170">
        <v>0</v>
      </c>
      <c r="V218" s="48">
        <f t="shared" si="48"/>
        <v>0</v>
      </c>
      <c r="W218" s="171">
        <f t="shared" si="49"/>
        <v>0</v>
      </c>
      <c r="X218" s="69">
        <v>303620</v>
      </c>
      <c r="Y218" s="48">
        <f t="shared" si="50"/>
        <v>198.7041884816754</v>
      </c>
      <c r="Z218" s="137">
        <f t="shared" si="51"/>
        <v>450.22862129533036</v>
      </c>
      <c r="AA218" s="69">
        <v>0</v>
      </c>
      <c r="AB218" s="48">
        <f t="shared" si="52"/>
        <v>0</v>
      </c>
      <c r="AC218" s="137">
        <f t="shared" si="53"/>
        <v>0</v>
      </c>
      <c r="AD218" s="70">
        <f t="shared" si="54"/>
        <v>303620</v>
      </c>
      <c r="AE218" s="71">
        <f t="shared" si="55"/>
        <v>198.7041884816754</v>
      </c>
      <c r="AF218" s="193">
        <f t="shared" si="56"/>
        <v>450.22862129533036</v>
      </c>
      <c r="AG218" s="185">
        <f t="shared" si="57"/>
        <v>1.8335094658655153E-3</v>
      </c>
      <c r="AH218" s="180">
        <f t="shared" si="47"/>
        <v>2.9466226708074537E-3</v>
      </c>
      <c r="AI218" s="189">
        <v>1528</v>
      </c>
      <c r="AJ218" s="125">
        <v>674.36850000000004</v>
      </c>
      <c r="AK218" s="149">
        <v>554</v>
      </c>
      <c r="AL218" s="221">
        <v>327</v>
      </c>
      <c r="AM218" s="216">
        <v>51.577287066246058</v>
      </c>
      <c r="AN218" s="213">
        <v>13.970588235294118</v>
      </c>
      <c r="AO218" s="127">
        <v>33.119</v>
      </c>
      <c r="AP218" s="133">
        <v>20.608000000000001</v>
      </c>
      <c r="AQ218" s="224">
        <f t="shared" si="58"/>
        <v>1.0173102529960054</v>
      </c>
      <c r="AR218" s="158">
        <v>1502</v>
      </c>
      <c r="AS218" s="229">
        <f t="shared" si="59"/>
        <v>0.88374783111625221</v>
      </c>
      <c r="AT218" s="230">
        <v>1729</v>
      </c>
      <c r="AU218" s="203">
        <v>14.986910994764399</v>
      </c>
      <c r="AV218" s="204">
        <v>65.445026178010465</v>
      </c>
      <c r="AW218" s="205">
        <v>19.56806282722513</v>
      </c>
      <c r="AX218" s="123">
        <v>3.9603999999999999</v>
      </c>
      <c r="AY218" s="281">
        <v>1.4965986394557822</v>
      </c>
      <c r="AZ218" s="282">
        <v>45.850340136054427</v>
      </c>
      <c r="BA218" s="283">
        <f t="shared" si="60"/>
        <v>52.65306122448979</v>
      </c>
      <c r="BB218" s="234">
        <v>52.772073921971248</v>
      </c>
      <c r="BC218" s="20">
        <v>2008</v>
      </c>
      <c r="BD218" s="263" t="s">
        <v>556</v>
      </c>
      <c r="BE218" s="261" t="s">
        <v>556</v>
      </c>
      <c r="BF218" s="259" t="s">
        <v>556</v>
      </c>
      <c r="BG218" s="256">
        <v>48.592999313658204</v>
      </c>
      <c r="BH218" s="248" t="s">
        <v>556</v>
      </c>
      <c r="BI218" s="249">
        <v>37.678975131876413</v>
      </c>
      <c r="BJ218" s="308" t="s">
        <v>556</v>
      </c>
      <c r="BK218" s="307" t="s">
        <v>556</v>
      </c>
      <c r="BL218" s="319" t="s">
        <v>1728</v>
      </c>
      <c r="BM218" s="320" t="s">
        <v>556</v>
      </c>
      <c r="BN218" s="321" t="s">
        <v>2081</v>
      </c>
      <c r="BO218" s="145" t="s">
        <v>556</v>
      </c>
      <c r="BP218" s="14" t="s">
        <v>556</v>
      </c>
      <c r="BQ218" s="14" t="s">
        <v>556</v>
      </c>
    </row>
    <row r="219" spans="1:70" s="72" customFormat="1" ht="13.95" customHeight="1" x14ac:dyDescent="0.3">
      <c r="A219" s="56" t="s">
        <v>459</v>
      </c>
      <c r="B219" s="57" t="s">
        <v>462</v>
      </c>
      <c r="C219" s="55" t="s">
        <v>163</v>
      </c>
      <c r="D219" s="58">
        <v>9</v>
      </c>
      <c r="E219" s="59" t="s">
        <v>591</v>
      </c>
      <c r="F219" s="60" t="s">
        <v>453</v>
      </c>
      <c r="G219" s="61" t="s">
        <v>113</v>
      </c>
      <c r="H219" s="61" t="s">
        <v>159</v>
      </c>
      <c r="I219" s="62" t="s">
        <v>159</v>
      </c>
      <c r="J219" s="63" t="s">
        <v>2082</v>
      </c>
      <c r="K219" s="99" t="s">
        <v>1103</v>
      </c>
      <c r="L219" s="130">
        <v>493577117</v>
      </c>
      <c r="M219" s="109" t="s">
        <v>564</v>
      </c>
      <c r="N219" s="12" t="s">
        <v>1102</v>
      </c>
      <c r="O219" s="100"/>
      <c r="P219" s="131">
        <v>724180461</v>
      </c>
      <c r="Q219" s="67"/>
      <c r="R219" s="68"/>
      <c r="S219" s="99"/>
      <c r="T219" s="65"/>
      <c r="U219" s="170">
        <v>0</v>
      </c>
      <c r="V219" s="48">
        <f t="shared" si="48"/>
        <v>0</v>
      </c>
      <c r="W219" s="171">
        <f t="shared" si="49"/>
        <v>0</v>
      </c>
      <c r="X219" s="69">
        <v>815160</v>
      </c>
      <c r="Y219" s="48">
        <f t="shared" si="50"/>
        <v>1734.3829787234042</v>
      </c>
      <c r="Z219" s="137">
        <f t="shared" si="51"/>
        <v>353.05460054623933</v>
      </c>
      <c r="AA219" s="69">
        <v>0</v>
      </c>
      <c r="AB219" s="48">
        <f t="shared" si="52"/>
        <v>0</v>
      </c>
      <c r="AC219" s="137">
        <f t="shared" si="53"/>
        <v>0</v>
      </c>
      <c r="AD219" s="70">
        <f t="shared" si="54"/>
        <v>815160</v>
      </c>
      <c r="AE219" s="71">
        <f t="shared" si="55"/>
        <v>1734.3829787234042</v>
      </c>
      <c r="AF219" s="193">
        <f t="shared" si="56"/>
        <v>353.05460054623933</v>
      </c>
      <c r="AG219" s="185">
        <f t="shared" si="57"/>
        <v>2.0636962025316456E-2</v>
      </c>
      <c r="AH219" s="180">
        <f t="shared" ref="AH219:AH254" si="61">IF(AD219=0,0,1/(AP219*5000000/AD219))</f>
        <v>0.90573333333333328</v>
      </c>
      <c r="AI219" s="189">
        <v>470</v>
      </c>
      <c r="AJ219" s="125">
        <v>2308.8780000000002</v>
      </c>
      <c r="AK219" s="149">
        <v>377</v>
      </c>
      <c r="AL219" s="221">
        <v>156</v>
      </c>
      <c r="AM219" s="216">
        <v>96.491228070175438</v>
      </c>
      <c r="AN219" s="213">
        <v>35.674157303370784</v>
      </c>
      <c r="AO219" s="127">
        <v>7.9</v>
      </c>
      <c r="AP219" s="133">
        <v>0.18</v>
      </c>
      <c r="AQ219" s="224">
        <f t="shared" si="58"/>
        <v>0.96311475409836067</v>
      </c>
      <c r="AR219" s="158">
        <v>488</v>
      </c>
      <c r="AS219" s="229">
        <f t="shared" si="59"/>
        <v>0.31002638522427439</v>
      </c>
      <c r="AT219" s="230">
        <v>1516</v>
      </c>
      <c r="AU219" s="203">
        <v>14.042553191489363</v>
      </c>
      <c r="AV219" s="204">
        <v>64.468085106382972</v>
      </c>
      <c r="AW219" s="205">
        <v>21.48936170212766</v>
      </c>
      <c r="AX219" s="123">
        <v>4.2484000000000002</v>
      </c>
      <c r="AY219" s="281">
        <v>16.93121693121693</v>
      </c>
      <c r="AZ219" s="282">
        <v>35.449735449735449</v>
      </c>
      <c r="BA219" s="283">
        <f t="shared" si="60"/>
        <v>47.619047619047613</v>
      </c>
      <c r="BB219" s="234">
        <v>87.5</v>
      </c>
      <c r="BC219" s="120" t="s">
        <v>1811</v>
      </c>
      <c r="BD219" s="263" t="s">
        <v>556</v>
      </c>
      <c r="BE219" s="261" t="s">
        <v>556</v>
      </c>
      <c r="BF219" s="260" t="s">
        <v>557</v>
      </c>
      <c r="BG219" s="256">
        <v>27.802690582959645</v>
      </c>
      <c r="BH219" s="254" t="s">
        <v>557</v>
      </c>
      <c r="BI219" s="249">
        <v>0</v>
      </c>
      <c r="BJ219" s="308" t="s">
        <v>556</v>
      </c>
      <c r="BK219" s="307" t="s">
        <v>557</v>
      </c>
      <c r="BL219" s="319" t="s">
        <v>1728</v>
      </c>
      <c r="BM219" s="320" t="s">
        <v>556</v>
      </c>
      <c r="BN219" s="321" t="s">
        <v>1791</v>
      </c>
      <c r="BO219" s="145" t="s">
        <v>556</v>
      </c>
      <c r="BP219" s="14">
        <v>3</v>
      </c>
      <c r="BQ219" s="14" t="s">
        <v>557</v>
      </c>
    </row>
    <row r="220" spans="1:70" s="56" customFormat="1" ht="13.95" customHeight="1" x14ac:dyDescent="0.3">
      <c r="A220" s="3" t="s">
        <v>459</v>
      </c>
      <c r="B220" s="57" t="s">
        <v>462</v>
      </c>
      <c r="C220" s="55" t="s">
        <v>428</v>
      </c>
      <c r="D220" s="58">
        <v>1</v>
      </c>
      <c r="E220" s="59"/>
      <c r="F220" s="60" t="s">
        <v>456</v>
      </c>
      <c r="G220" s="61" t="s">
        <v>378</v>
      </c>
      <c r="H220" s="61" t="s">
        <v>379</v>
      </c>
      <c r="I220" s="62" t="s">
        <v>379</v>
      </c>
      <c r="J220" s="117" t="s">
        <v>2083</v>
      </c>
      <c r="K220" s="143" t="s">
        <v>1619</v>
      </c>
      <c r="L220" s="131">
        <v>499781587</v>
      </c>
      <c r="M220" s="109" t="s">
        <v>537</v>
      </c>
      <c r="N220" s="12" t="s">
        <v>1618</v>
      </c>
      <c r="O220" s="100"/>
      <c r="P220" s="131"/>
      <c r="Q220" s="84"/>
      <c r="R220" s="3"/>
      <c r="S220" s="2"/>
      <c r="T220" s="241"/>
      <c r="U220" s="170">
        <v>0</v>
      </c>
      <c r="V220" s="48">
        <f t="shared" si="48"/>
        <v>0</v>
      </c>
      <c r="W220" s="171">
        <f t="shared" si="49"/>
        <v>0</v>
      </c>
      <c r="X220" s="69">
        <v>0</v>
      </c>
      <c r="Y220" s="48">
        <f t="shared" si="50"/>
        <v>0</v>
      </c>
      <c r="Z220" s="137">
        <f t="shared" si="51"/>
        <v>0</v>
      </c>
      <c r="AA220" s="69">
        <v>0</v>
      </c>
      <c r="AB220" s="48">
        <f t="shared" si="52"/>
        <v>0</v>
      </c>
      <c r="AC220" s="137">
        <f t="shared" si="53"/>
        <v>0</v>
      </c>
      <c r="AD220" s="70">
        <f t="shared" si="54"/>
        <v>0</v>
      </c>
      <c r="AE220" s="71">
        <f t="shared" si="55"/>
        <v>0</v>
      </c>
      <c r="AF220" s="193">
        <f t="shared" si="56"/>
        <v>0</v>
      </c>
      <c r="AG220" s="185">
        <f t="shared" si="57"/>
        <v>0</v>
      </c>
      <c r="AH220" s="180">
        <f t="shared" si="61"/>
        <v>0</v>
      </c>
      <c r="AI220" s="189">
        <v>189</v>
      </c>
      <c r="AJ220" s="125">
        <v>331.69080000000002</v>
      </c>
      <c r="AK220" s="149">
        <v>84</v>
      </c>
      <c r="AL220" s="221">
        <v>53</v>
      </c>
      <c r="AM220" s="216">
        <v>100</v>
      </c>
      <c r="AN220" s="213">
        <v>28.571428571428573</v>
      </c>
      <c r="AO220" s="127">
        <v>2.8170000000000002</v>
      </c>
      <c r="AP220" s="133">
        <v>5.1999999999999998E-2</v>
      </c>
      <c r="AQ220" s="224">
        <f t="shared" si="58"/>
        <v>1.2945205479452055</v>
      </c>
      <c r="AR220" s="158">
        <v>146</v>
      </c>
      <c r="AS220" s="229">
        <f t="shared" si="59"/>
        <v>0.60771704180064312</v>
      </c>
      <c r="AT220" s="230">
        <v>311</v>
      </c>
      <c r="AU220" s="203">
        <v>17.989417989417987</v>
      </c>
      <c r="AV220" s="204">
        <v>62.433862433862437</v>
      </c>
      <c r="AW220" s="205">
        <v>19.576719576719576</v>
      </c>
      <c r="AX220" s="123">
        <v>4.2016999999999998</v>
      </c>
      <c r="AY220" s="281">
        <v>5.9701492537313428</v>
      </c>
      <c r="AZ220" s="282">
        <v>41.791044776119399</v>
      </c>
      <c r="BA220" s="283">
        <f t="shared" si="60"/>
        <v>52.238805970149265</v>
      </c>
      <c r="BB220" s="234">
        <v>96.969696969696969</v>
      </c>
      <c r="BC220" s="243" t="s">
        <v>1811</v>
      </c>
      <c r="BD220" s="263" t="s">
        <v>556</v>
      </c>
      <c r="BE220" s="262" t="s">
        <v>557</v>
      </c>
      <c r="BF220" s="260" t="s">
        <v>557</v>
      </c>
      <c r="BG220" s="256">
        <v>0</v>
      </c>
      <c r="BH220" s="254" t="s">
        <v>557</v>
      </c>
      <c r="BI220" s="249">
        <v>0</v>
      </c>
      <c r="BJ220" s="309" t="s">
        <v>557</v>
      </c>
      <c r="BK220" s="307" t="s">
        <v>557</v>
      </c>
      <c r="BL220" s="319" t="s">
        <v>1728</v>
      </c>
      <c r="BM220" s="320" t="s">
        <v>556</v>
      </c>
      <c r="BN220" s="321" t="s">
        <v>557</v>
      </c>
      <c r="BO220" s="21" t="s">
        <v>557</v>
      </c>
      <c r="BP220" s="10" t="s">
        <v>557</v>
      </c>
      <c r="BQ220" s="10" t="s">
        <v>557</v>
      </c>
      <c r="BR220" s="3"/>
    </row>
    <row r="221" spans="1:70" s="72" customFormat="1" ht="13.95" customHeight="1" x14ac:dyDescent="0.3">
      <c r="A221" s="56" t="s">
        <v>459</v>
      </c>
      <c r="B221" s="57" t="s">
        <v>462</v>
      </c>
      <c r="C221" s="55" t="s">
        <v>262</v>
      </c>
      <c r="D221" s="58">
        <v>1</v>
      </c>
      <c r="E221" s="59"/>
      <c r="F221" s="60" t="s">
        <v>454</v>
      </c>
      <c r="G221" s="61" t="s">
        <v>223</v>
      </c>
      <c r="H221" s="61" t="s">
        <v>223</v>
      </c>
      <c r="I221" s="62" t="s">
        <v>223</v>
      </c>
      <c r="J221" s="63" t="s">
        <v>2084</v>
      </c>
      <c r="K221" s="99" t="s">
        <v>2085</v>
      </c>
      <c r="L221" s="130">
        <v>491528166</v>
      </c>
      <c r="M221" s="109" t="s">
        <v>564</v>
      </c>
      <c r="N221" s="12" t="s">
        <v>1314</v>
      </c>
      <c r="O221" s="100"/>
      <c r="P221" s="131">
        <v>724179724</v>
      </c>
      <c r="Q221" s="67"/>
      <c r="R221" s="68"/>
      <c r="S221" s="99"/>
      <c r="T221" s="65"/>
      <c r="U221" s="170">
        <v>0</v>
      </c>
      <c r="V221" s="48">
        <f t="shared" si="48"/>
        <v>0</v>
      </c>
      <c r="W221" s="171">
        <f t="shared" si="49"/>
        <v>0</v>
      </c>
      <c r="X221" s="69">
        <v>0</v>
      </c>
      <c r="Y221" s="48">
        <f t="shared" si="50"/>
        <v>0</v>
      </c>
      <c r="Z221" s="137">
        <f t="shared" si="51"/>
        <v>0</v>
      </c>
      <c r="AA221" s="69">
        <v>0</v>
      </c>
      <c r="AB221" s="48">
        <f t="shared" si="52"/>
        <v>0</v>
      </c>
      <c r="AC221" s="137">
        <f t="shared" si="53"/>
        <v>0</v>
      </c>
      <c r="AD221" s="70">
        <f t="shared" si="54"/>
        <v>0</v>
      </c>
      <c r="AE221" s="71">
        <f t="shared" si="55"/>
        <v>0</v>
      </c>
      <c r="AF221" s="193">
        <f t="shared" si="56"/>
        <v>0</v>
      </c>
      <c r="AG221" s="185">
        <f t="shared" si="57"/>
        <v>0</v>
      </c>
      <c r="AH221" s="180">
        <f t="shared" si="61"/>
        <v>0</v>
      </c>
      <c r="AI221" s="189">
        <v>519</v>
      </c>
      <c r="AJ221" s="125">
        <v>1415.9739</v>
      </c>
      <c r="AK221" s="149">
        <v>213</v>
      </c>
      <c r="AL221" s="221">
        <v>132</v>
      </c>
      <c r="AM221" s="216">
        <v>64.532019704433495</v>
      </c>
      <c r="AN221" s="213">
        <v>10.03861003861004</v>
      </c>
      <c r="AO221" s="127">
        <v>6.548</v>
      </c>
      <c r="AP221" s="133">
        <v>0.84799999999999998</v>
      </c>
      <c r="AQ221" s="224">
        <f t="shared" si="58"/>
        <v>0.9593345656192237</v>
      </c>
      <c r="AR221" s="158">
        <v>541</v>
      </c>
      <c r="AS221" s="229">
        <f t="shared" si="59"/>
        <v>0.31879606879606881</v>
      </c>
      <c r="AT221" s="230">
        <v>1628</v>
      </c>
      <c r="AU221" s="203">
        <v>13.294797687861271</v>
      </c>
      <c r="AV221" s="204">
        <v>66.859344894026975</v>
      </c>
      <c r="AW221" s="205">
        <v>19.845857418111752</v>
      </c>
      <c r="AX221" s="123">
        <v>8.7570999999999994</v>
      </c>
      <c r="AY221" s="281">
        <v>11.917098445595855</v>
      </c>
      <c r="AZ221" s="282">
        <v>40.414507772020727</v>
      </c>
      <c r="BA221" s="283">
        <f t="shared" si="60"/>
        <v>47.668393782383419</v>
      </c>
      <c r="BB221" s="234">
        <v>68.131868131868131</v>
      </c>
      <c r="BC221" s="20">
        <v>2010</v>
      </c>
      <c r="BD221" s="263" t="s">
        <v>556</v>
      </c>
      <c r="BE221" s="261" t="s">
        <v>556</v>
      </c>
      <c r="BF221" s="260" t="s">
        <v>557</v>
      </c>
      <c r="BG221" s="257" t="s">
        <v>1686</v>
      </c>
      <c r="BH221" s="254" t="s">
        <v>557</v>
      </c>
      <c r="BI221" s="249">
        <v>0</v>
      </c>
      <c r="BJ221" s="308" t="s">
        <v>556</v>
      </c>
      <c r="BK221" s="307" t="s">
        <v>556</v>
      </c>
      <c r="BL221" s="319" t="s">
        <v>1728</v>
      </c>
      <c r="BM221" s="320" t="s">
        <v>556</v>
      </c>
      <c r="BN221" s="321" t="s">
        <v>1803</v>
      </c>
      <c r="BO221" s="145" t="s">
        <v>556</v>
      </c>
      <c r="BP221" s="14" t="s">
        <v>556</v>
      </c>
      <c r="BQ221" s="14" t="s">
        <v>557</v>
      </c>
      <c r="BR221" s="56"/>
    </row>
    <row r="222" spans="1:70" s="56" customFormat="1" ht="13.95" customHeight="1" x14ac:dyDescent="0.3">
      <c r="A222" s="56" t="s">
        <v>459</v>
      </c>
      <c r="B222" s="57" t="s">
        <v>462</v>
      </c>
      <c r="C222" s="55" t="s">
        <v>60</v>
      </c>
      <c r="D222" s="58">
        <v>1</v>
      </c>
      <c r="E222" s="59"/>
      <c r="F222" s="60" t="s">
        <v>452</v>
      </c>
      <c r="G222" s="61" t="s">
        <v>11</v>
      </c>
      <c r="H222" s="61" t="s">
        <v>11</v>
      </c>
      <c r="I222" s="62" t="s">
        <v>11</v>
      </c>
      <c r="J222" s="63" t="s">
        <v>2086</v>
      </c>
      <c r="K222" s="99" t="s">
        <v>884</v>
      </c>
      <c r="L222" s="130"/>
      <c r="M222" s="109" t="s">
        <v>537</v>
      </c>
      <c r="N222" s="12" t="s">
        <v>885</v>
      </c>
      <c r="O222" s="100"/>
      <c r="P222" s="131">
        <v>724189546</v>
      </c>
      <c r="Q222" s="67"/>
      <c r="R222" s="68"/>
      <c r="S222" s="99"/>
      <c r="T222" s="65"/>
      <c r="U222" s="170">
        <v>109794</v>
      </c>
      <c r="V222" s="48">
        <f t="shared" si="48"/>
        <v>510.66976744186047</v>
      </c>
      <c r="W222" s="171">
        <f t="shared" si="49"/>
        <v>238.11816511469334</v>
      </c>
      <c r="X222" s="69">
        <v>20910</v>
      </c>
      <c r="Y222" s="48">
        <f t="shared" si="50"/>
        <v>97.255813953488371</v>
      </c>
      <c r="Z222" s="137">
        <f t="shared" si="51"/>
        <v>45.349024833308178</v>
      </c>
      <c r="AA222" s="69">
        <v>100000</v>
      </c>
      <c r="AB222" s="48">
        <f t="shared" si="52"/>
        <v>465.11627906976742</v>
      </c>
      <c r="AC222" s="137">
        <f t="shared" si="53"/>
        <v>216.87721106316678</v>
      </c>
      <c r="AD222" s="70">
        <f t="shared" si="54"/>
        <v>230704</v>
      </c>
      <c r="AE222" s="71">
        <f t="shared" si="55"/>
        <v>1073.0418604651163</v>
      </c>
      <c r="AF222" s="193">
        <f t="shared" si="56"/>
        <v>500.34440101116832</v>
      </c>
      <c r="AG222" s="185">
        <f t="shared" si="57"/>
        <v>1.5987803187803188E-2</v>
      </c>
      <c r="AH222" s="180">
        <f t="shared" si="61"/>
        <v>0.13220859598853868</v>
      </c>
      <c r="AI222" s="189">
        <v>215</v>
      </c>
      <c r="AJ222" s="125">
        <v>461.09039999999999</v>
      </c>
      <c r="AK222" s="149">
        <v>80</v>
      </c>
      <c r="AL222" s="221">
        <v>58</v>
      </c>
      <c r="AM222" s="216">
        <v>88.405797101449281</v>
      </c>
      <c r="AN222" s="213">
        <v>2.2988505747126435</v>
      </c>
      <c r="AO222" s="127">
        <v>2.8860000000000001</v>
      </c>
      <c r="AP222" s="133">
        <v>0.34899999999999998</v>
      </c>
      <c r="AQ222" s="224">
        <f t="shared" si="58"/>
        <v>1.7622950819672132</v>
      </c>
      <c r="AR222" s="158">
        <v>122</v>
      </c>
      <c r="AS222" s="229">
        <f t="shared" si="59"/>
        <v>0.6195965417867435</v>
      </c>
      <c r="AT222" s="230">
        <v>347</v>
      </c>
      <c r="AU222" s="203">
        <v>17.209302325581397</v>
      </c>
      <c r="AV222" s="204">
        <v>65.11627906976743</v>
      </c>
      <c r="AW222" s="205">
        <v>17.674418604651162</v>
      </c>
      <c r="AX222" s="123">
        <v>2.7210999999999999</v>
      </c>
      <c r="AY222" s="281">
        <v>12.5</v>
      </c>
      <c r="AZ222" s="282">
        <v>28.40909090909091</v>
      </c>
      <c r="BA222" s="283">
        <f t="shared" si="60"/>
        <v>59.090909090909093</v>
      </c>
      <c r="BB222" s="234">
        <v>100</v>
      </c>
      <c r="BC222" s="20">
        <v>2010</v>
      </c>
      <c r="BD222" s="263" t="s">
        <v>556</v>
      </c>
      <c r="BE222" s="261" t="s">
        <v>556</v>
      </c>
      <c r="BF222" s="260" t="s">
        <v>557</v>
      </c>
      <c r="BG222" s="256">
        <v>11.483253588516746</v>
      </c>
      <c r="BH222" s="248" t="s">
        <v>556</v>
      </c>
      <c r="BI222" s="249">
        <v>58.128078817733986</v>
      </c>
      <c r="BJ222" s="309" t="s">
        <v>557</v>
      </c>
      <c r="BK222" s="307" t="s">
        <v>557</v>
      </c>
      <c r="BL222" s="319" t="s">
        <v>1728</v>
      </c>
      <c r="BM222" s="320" t="s">
        <v>557</v>
      </c>
      <c r="BN222" s="321" t="s">
        <v>1838</v>
      </c>
      <c r="BO222" s="145" t="s">
        <v>557</v>
      </c>
      <c r="BP222" s="14" t="s">
        <v>557</v>
      </c>
      <c r="BQ222" s="14" t="s">
        <v>557</v>
      </c>
    </row>
    <row r="223" spans="1:70" s="72" customFormat="1" ht="13.95" customHeight="1" x14ac:dyDescent="0.3">
      <c r="A223" s="56" t="s">
        <v>459</v>
      </c>
      <c r="B223" s="57" t="s">
        <v>462</v>
      </c>
      <c r="C223" s="55" t="s">
        <v>61</v>
      </c>
      <c r="D223" s="58">
        <v>4</v>
      </c>
      <c r="E223" s="59" t="s">
        <v>481</v>
      </c>
      <c r="F223" s="60" t="s">
        <v>452</v>
      </c>
      <c r="G223" s="61" t="s">
        <v>7</v>
      </c>
      <c r="H223" s="61" t="s">
        <v>7</v>
      </c>
      <c r="I223" s="62" t="s">
        <v>7</v>
      </c>
      <c r="J223" s="63" t="s">
        <v>2087</v>
      </c>
      <c r="K223" s="99" t="s">
        <v>886</v>
      </c>
      <c r="L223" s="130">
        <v>495493851</v>
      </c>
      <c r="M223" s="109" t="s">
        <v>537</v>
      </c>
      <c r="N223" s="12" t="s">
        <v>887</v>
      </c>
      <c r="O223" s="100"/>
      <c r="P223" s="131">
        <v>724764590</v>
      </c>
      <c r="Q223" s="67"/>
      <c r="R223" s="68"/>
      <c r="S223" s="99"/>
      <c r="T223" s="65"/>
      <c r="U223" s="170">
        <f>116689+55000+89000+463679</f>
        <v>724368</v>
      </c>
      <c r="V223" s="48">
        <f t="shared" si="48"/>
        <v>1191.3947368421052</v>
      </c>
      <c r="W223" s="171">
        <f t="shared" si="49"/>
        <v>754.21947902622253</v>
      </c>
      <c r="X223" s="69">
        <v>53800</v>
      </c>
      <c r="Y223" s="48">
        <f t="shared" si="50"/>
        <v>88.486842105263165</v>
      </c>
      <c r="Z223" s="137">
        <f t="shared" si="51"/>
        <v>56.017118331581152</v>
      </c>
      <c r="AA223" s="69">
        <v>0</v>
      </c>
      <c r="AB223" s="48">
        <f t="shared" si="52"/>
        <v>0</v>
      </c>
      <c r="AC223" s="137">
        <f t="shared" si="53"/>
        <v>0</v>
      </c>
      <c r="AD223" s="70">
        <f t="shared" si="54"/>
        <v>778168</v>
      </c>
      <c r="AE223" s="71">
        <f t="shared" si="55"/>
        <v>1279.8815789473683</v>
      </c>
      <c r="AF223" s="193">
        <f t="shared" si="56"/>
        <v>810.2365973578037</v>
      </c>
      <c r="AG223" s="185">
        <f t="shared" si="57"/>
        <v>3.264812250891546E-2</v>
      </c>
      <c r="AH223" s="180">
        <f t="shared" si="61"/>
        <v>0.36880000000000002</v>
      </c>
      <c r="AI223" s="189">
        <v>608</v>
      </c>
      <c r="AJ223" s="125">
        <v>960.42070000000001</v>
      </c>
      <c r="AK223" s="149">
        <v>283</v>
      </c>
      <c r="AL223" s="221">
        <v>183</v>
      </c>
      <c r="AM223" s="216">
        <v>97.044334975369466</v>
      </c>
      <c r="AN223" s="213">
        <v>14.606741573033709</v>
      </c>
      <c r="AO223" s="127">
        <v>4.7670000000000003</v>
      </c>
      <c r="AP223" s="133">
        <v>0.42199999999999999</v>
      </c>
      <c r="AQ223" s="224">
        <f t="shared" si="58"/>
        <v>1.192156862745098</v>
      </c>
      <c r="AR223" s="158">
        <v>510</v>
      </c>
      <c r="AS223" s="229">
        <f t="shared" si="59"/>
        <v>0.66886688668866889</v>
      </c>
      <c r="AT223" s="230">
        <v>909</v>
      </c>
      <c r="AU223" s="203">
        <v>16.447368421052634</v>
      </c>
      <c r="AV223" s="204">
        <v>66.118421052631589</v>
      </c>
      <c r="AW223" s="205">
        <v>17.434210526315788</v>
      </c>
      <c r="AX223" s="123">
        <v>5.9112999999999998</v>
      </c>
      <c r="AY223" s="281">
        <v>11.328125</v>
      </c>
      <c r="AZ223" s="282">
        <v>36.328125</v>
      </c>
      <c r="BA223" s="283">
        <f t="shared" si="60"/>
        <v>52.34375</v>
      </c>
      <c r="BB223" s="234">
        <v>67.226890756302524</v>
      </c>
      <c r="BC223" s="20">
        <v>2002</v>
      </c>
      <c r="BD223" s="263" t="s">
        <v>556</v>
      </c>
      <c r="BE223" s="261" t="s">
        <v>556</v>
      </c>
      <c r="BF223" s="259" t="s">
        <v>556</v>
      </c>
      <c r="BG223" s="256">
        <v>73.739130434782609</v>
      </c>
      <c r="BH223" s="248" t="s">
        <v>556</v>
      </c>
      <c r="BI223" s="249">
        <v>75.868372943327245</v>
      </c>
      <c r="BJ223" s="308" t="s">
        <v>556</v>
      </c>
      <c r="BK223" s="307" t="s">
        <v>750</v>
      </c>
      <c r="BL223" s="319" t="s">
        <v>1728</v>
      </c>
      <c r="BM223" s="320" t="s">
        <v>556</v>
      </c>
      <c r="BN223" s="321" t="s">
        <v>1957</v>
      </c>
      <c r="BO223" s="145" t="s">
        <v>556</v>
      </c>
      <c r="BP223" s="14" t="s">
        <v>556</v>
      </c>
      <c r="BQ223" s="14" t="s">
        <v>557</v>
      </c>
      <c r="BR223" s="56"/>
    </row>
    <row r="224" spans="1:70" s="56" customFormat="1" ht="13.95" customHeight="1" x14ac:dyDescent="0.3">
      <c r="A224" s="56" t="s">
        <v>459</v>
      </c>
      <c r="B224" s="57" t="s">
        <v>462</v>
      </c>
      <c r="C224" s="55" t="s">
        <v>263</v>
      </c>
      <c r="D224" s="58">
        <v>2</v>
      </c>
      <c r="E224" s="59" t="s">
        <v>654</v>
      </c>
      <c r="F224" s="60" t="s">
        <v>454</v>
      </c>
      <c r="G224" s="61" t="s">
        <v>226</v>
      </c>
      <c r="H224" s="61" t="s">
        <v>233</v>
      </c>
      <c r="I224" s="62" t="s">
        <v>233</v>
      </c>
      <c r="J224" s="63" t="s">
        <v>2088</v>
      </c>
      <c r="K224" s="99" t="s">
        <v>1316</v>
      </c>
      <c r="L224" s="130">
        <v>491491115</v>
      </c>
      <c r="M224" s="109" t="s">
        <v>564</v>
      </c>
      <c r="N224" s="12" t="s">
        <v>1315</v>
      </c>
      <c r="O224" s="100"/>
      <c r="P224" s="131">
        <v>777859180</v>
      </c>
      <c r="Q224" s="67"/>
      <c r="R224" s="68"/>
      <c r="S224" s="99"/>
      <c r="T224" s="65"/>
      <c r="U224" s="170">
        <v>0</v>
      </c>
      <c r="V224" s="48">
        <f t="shared" si="48"/>
        <v>0</v>
      </c>
      <c r="W224" s="171">
        <f t="shared" si="49"/>
        <v>0</v>
      </c>
      <c r="X224" s="69">
        <v>0</v>
      </c>
      <c r="Y224" s="48">
        <f t="shared" si="50"/>
        <v>0</v>
      </c>
      <c r="Z224" s="137">
        <f t="shared" si="51"/>
        <v>0</v>
      </c>
      <c r="AA224" s="69">
        <v>0</v>
      </c>
      <c r="AB224" s="48">
        <f t="shared" si="52"/>
        <v>0</v>
      </c>
      <c r="AC224" s="137">
        <f t="shared" si="53"/>
        <v>0</v>
      </c>
      <c r="AD224" s="70">
        <f t="shared" si="54"/>
        <v>0</v>
      </c>
      <c r="AE224" s="71">
        <f t="shared" si="55"/>
        <v>0</v>
      </c>
      <c r="AF224" s="193">
        <f t="shared" si="56"/>
        <v>0</v>
      </c>
      <c r="AG224" s="185">
        <f t="shared" si="57"/>
        <v>0</v>
      </c>
      <c r="AH224" s="180">
        <f t="shared" si="61"/>
        <v>0</v>
      </c>
      <c r="AI224" s="189">
        <v>136</v>
      </c>
      <c r="AJ224" s="125">
        <v>519.798</v>
      </c>
      <c r="AK224" s="149">
        <v>78</v>
      </c>
      <c r="AL224" s="221">
        <v>38</v>
      </c>
      <c r="AM224" s="216">
        <v>77.551020408163268</v>
      </c>
      <c r="AN224" s="213">
        <v>9.5238095238095237</v>
      </c>
      <c r="AO224" s="127">
        <v>1.1000000000000001</v>
      </c>
      <c r="AP224" s="133">
        <v>6.2E-2</v>
      </c>
      <c r="AQ224" s="224">
        <f t="shared" si="58"/>
        <v>0.97841726618705038</v>
      </c>
      <c r="AR224" s="158">
        <v>139</v>
      </c>
      <c r="AS224" s="229">
        <f t="shared" si="59"/>
        <v>0.47552447552447552</v>
      </c>
      <c r="AT224" s="230">
        <v>286</v>
      </c>
      <c r="AU224" s="203">
        <v>13.23529411764706</v>
      </c>
      <c r="AV224" s="204">
        <v>66.176470588235304</v>
      </c>
      <c r="AW224" s="205">
        <v>20.588235294117645</v>
      </c>
      <c r="AX224" s="123">
        <v>0</v>
      </c>
      <c r="AY224" s="281">
        <v>6.7796610169491522</v>
      </c>
      <c r="AZ224" s="282">
        <v>44.067796610169488</v>
      </c>
      <c r="BA224" s="283">
        <f t="shared" si="60"/>
        <v>49.152542372881364</v>
      </c>
      <c r="BB224" s="234">
        <v>77.142857142857153</v>
      </c>
      <c r="BC224" s="20">
        <v>1999</v>
      </c>
      <c r="BD224" s="263" t="s">
        <v>556</v>
      </c>
      <c r="BE224" s="262" t="s">
        <v>557</v>
      </c>
      <c r="BF224" s="260" t="s">
        <v>557</v>
      </c>
      <c r="BG224" s="256">
        <v>0</v>
      </c>
      <c r="BH224" s="254" t="s">
        <v>557</v>
      </c>
      <c r="BI224" s="249">
        <v>0</v>
      </c>
      <c r="BJ224" s="309" t="s">
        <v>557</v>
      </c>
      <c r="BK224" s="307" t="s">
        <v>557</v>
      </c>
      <c r="BL224" s="319" t="s">
        <v>1728</v>
      </c>
      <c r="BM224" s="320" t="s">
        <v>556</v>
      </c>
      <c r="BN224" s="321" t="s">
        <v>557</v>
      </c>
      <c r="BO224" s="145" t="s">
        <v>557</v>
      </c>
      <c r="BP224" s="14" t="s">
        <v>557</v>
      </c>
      <c r="BQ224" s="14" t="s">
        <v>557</v>
      </c>
    </row>
    <row r="225" spans="1:70" s="56" customFormat="1" ht="13.95" customHeight="1" x14ac:dyDescent="0.3">
      <c r="A225" s="56" t="s">
        <v>459</v>
      </c>
      <c r="B225" s="57" t="s">
        <v>462</v>
      </c>
      <c r="C225" s="55" t="s">
        <v>264</v>
      </c>
      <c r="D225" s="58">
        <v>1</v>
      </c>
      <c r="E225" s="59"/>
      <c r="F225" s="60" t="s">
        <v>454</v>
      </c>
      <c r="G225" s="61" t="s">
        <v>526</v>
      </c>
      <c r="H225" s="61" t="s">
        <v>526</v>
      </c>
      <c r="I225" s="62" t="s">
        <v>526</v>
      </c>
      <c r="J225" s="63" t="s">
        <v>2089</v>
      </c>
      <c r="K225" s="99"/>
      <c r="L225" s="130">
        <v>491478280</v>
      </c>
      <c r="M225" s="109" t="s">
        <v>564</v>
      </c>
      <c r="N225" s="12" t="s">
        <v>1317</v>
      </c>
      <c r="O225" s="100" t="s">
        <v>1318</v>
      </c>
      <c r="P225" s="131">
        <v>777112321</v>
      </c>
      <c r="Q225" s="67"/>
      <c r="R225" s="68"/>
      <c r="S225" s="99"/>
      <c r="T225" s="65"/>
      <c r="U225" s="170">
        <v>0</v>
      </c>
      <c r="V225" s="48">
        <f t="shared" si="48"/>
        <v>0</v>
      </c>
      <c r="W225" s="171">
        <f t="shared" si="49"/>
        <v>0</v>
      </c>
      <c r="X225" s="69">
        <v>0</v>
      </c>
      <c r="Y225" s="48">
        <f t="shared" si="50"/>
        <v>0</v>
      </c>
      <c r="Z225" s="137">
        <f t="shared" si="51"/>
        <v>0</v>
      </c>
      <c r="AA225" s="69">
        <v>0</v>
      </c>
      <c r="AB225" s="48">
        <f t="shared" si="52"/>
        <v>0</v>
      </c>
      <c r="AC225" s="137">
        <f t="shared" si="53"/>
        <v>0</v>
      </c>
      <c r="AD225" s="70">
        <f t="shared" si="54"/>
        <v>0</v>
      </c>
      <c r="AE225" s="71">
        <f t="shared" si="55"/>
        <v>0</v>
      </c>
      <c r="AF225" s="193">
        <f t="shared" si="56"/>
        <v>0</v>
      </c>
      <c r="AG225" s="185">
        <f t="shared" si="57"/>
        <v>0</v>
      </c>
      <c r="AH225" s="180">
        <f t="shared" si="61"/>
        <v>0</v>
      </c>
      <c r="AI225" s="189">
        <v>229</v>
      </c>
      <c r="AJ225" s="125">
        <v>236.13460000000001</v>
      </c>
      <c r="AK225" s="149">
        <v>111</v>
      </c>
      <c r="AL225" s="221">
        <v>71</v>
      </c>
      <c r="AM225" s="216">
        <v>100</v>
      </c>
      <c r="AN225" s="213">
        <v>20.388349514563107</v>
      </c>
      <c r="AO225" s="127">
        <v>1.0780000000000001</v>
      </c>
      <c r="AP225" s="133">
        <v>0</v>
      </c>
      <c r="AQ225" s="224">
        <f t="shared" si="58"/>
        <v>1.1009615384615385</v>
      </c>
      <c r="AR225" s="158">
        <v>208</v>
      </c>
      <c r="AS225" s="229">
        <f t="shared" si="59"/>
        <v>0.62568306010928965</v>
      </c>
      <c r="AT225" s="230">
        <v>366</v>
      </c>
      <c r="AU225" s="203">
        <v>13.100436681222707</v>
      </c>
      <c r="AV225" s="204">
        <v>67.248908296943242</v>
      </c>
      <c r="AW225" s="205">
        <v>19.650655021834059</v>
      </c>
      <c r="AX225" s="123">
        <v>3.2894999999999999</v>
      </c>
      <c r="AY225" s="281">
        <v>7.1428571428571423</v>
      </c>
      <c r="AZ225" s="282">
        <v>44.897959183673471</v>
      </c>
      <c r="BA225" s="283">
        <f t="shared" si="60"/>
        <v>47.95918367346939</v>
      </c>
      <c r="BB225" s="234">
        <v>94.339622641509436</v>
      </c>
      <c r="BC225" s="20">
        <v>2008</v>
      </c>
      <c r="BD225" s="263" t="s">
        <v>556</v>
      </c>
      <c r="BE225" s="261" t="s">
        <v>556</v>
      </c>
      <c r="BF225" s="260" t="s">
        <v>557</v>
      </c>
      <c r="BG225" s="256">
        <v>20.772946859903382</v>
      </c>
      <c r="BH225" s="254" t="s">
        <v>557</v>
      </c>
      <c r="BI225" s="249">
        <v>0</v>
      </c>
      <c r="BJ225" s="309" t="s">
        <v>557</v>
      </c>
      <c r="BK225" s="307" t="s">
        <v>557</v>
      </c>
      <c r="BL225" s="319" t="s">
        <v>1728</v>
      </c>
      <c r="BM225" s="320" t="s">
        <v>556</v>
      </c>
      <c r="BN225" s="321" t="s">
        <v>1838</v>
      </c>
      <c r="BO225" s="145" t="s">
        <v>999</v>
      </c>
      <c r="BP225" s="14" t="s">
        <v>557</v>
      </c>
      <c r="BQ225" s="14" t="s">
        <v>557</v>
      </c>
    </row>
    <row r="226" spans="1:70" s="56" customFormat="1" ht="13.95" customHeight="1" x14ac:dyDescent="0.3">
      <c r="A226" s="56" t="s">
        <v>459</v>
      </c>
      <c r="B226" s="77" t="s">
        <v>464</v>
      </c>
      <c r="C226" s="74" t="s">
        <v>251</v>
      </c>
      <c r="D226" s="58">
        <v>6</v>
      </c>
      <c r="E226" s="59" t="s">
        <v>759</v>
      </c>
      <c r="F226" s="60" t="s">
        <v>454</v>
      </c>
      <c r="G226" s="75" t="s">
        <v>223</v>
      </c>
      <c r="H226" s="75" t="s">
        <v>1226</v>
      </c>
      <c r="I226" s="76" t="s">
        <v>251</v>
      </c>
      <c r="J226" s="63" t="s">
        <v>2090</v>
      </c>
      <c r="K226" s="99" t="s">
        <v>2092</v>
      </c>
      <c r="L226" s="130">
        <v>491582369</v>
      </c>
      <c r="M226" s="109" t="s">
        <v>537</v>
      </c>
      <c r="N226" s="12" t="s">
        <v>1319</v>
      </c>
      <c r="O226" s="100" t="s">
        <v>1320</v>
      </c>
      <c r="P226" s="131" t="s">
        <v>2093</v>
      </c>
      <c r="Q226" s="67"/>
      <c r="R226" s="68"/>
      <c r="S226" s="99"/>
      <c r="T226" s="65"/>
      <c r="U226" s="172">
        <v>0</v>
      </c>
      <c r="V226" s="135">
        <f t="shared" si="48"/>
        <v>0</v>
      </c>
      <c r="W226" s="173">
        <f t="shared" si="49"/>
        <v>0</v>
      </c>
      <c r="X226" s="69">
        <v>805137</v>
      </c>
      <c r="Y226" s="48">
        <f t="shared" si="50"/>
        <v>324.39041095890411</v>
      </c>
      <c r="Z226" s="137">
        <f t="shared" si="51"/>
        <v>313.02925260206484</v>
      </c>
      <c r="AA226" s="69">
        <v>950000</v>
      </c>
      <c r="AB226" s="48">
        <f t="shared" si="52"/>
        <v>382.75584206285254</v>
      </c>
      <c r="AC226" s="137">
        <f t="shared" si="53"/>
        <v>369.35054527609788</v>
      </c>
      <c r="AD226" s="70">
        <f t="shared" si="54"/>
        <v>1755137</v>
      </c>
      <c r="AE226" s="71">
        <f t="shared" si="55"/>
        <v>707.14625302175659</v>
      </c>
      <c r="AF226" s="193">
        <f t="shared" si="56"/>
        <v>682.37979787816278</v>
      </c>
      <c r="AG226" s="185">
        <f t="shared" si="57"/>
        <v>9.3604810538385642E-3</v>
      </c>
      <c r="AH226" s="180">
        <f t="shared" si="61"/>
        <v>7.6459899803964282E-2</v>
      </c>
      <c r="AI226" s="189">
        <v>2482</v>
      </c>
      <c r="AJ226" s="126">
        <v>2572.0823</v>
      </c>
      <c r="AK226" s="150">
        <v>651</v>
      </c>
      <c r="AL226" s="221">
        <v>433</v>
      </c>
      <c r="AM226" s="216">
        <v>36.62900188323917</v>
      </c>
      <c r="AN226" s="213">
        <v>4.2570281124497988</v>
      </c>
      <c r="AO226" s="128">
        <v>37.500999999999998</v>
      </c>
      <c r="AP226" s="134">
        <v>4.5910000000000002</v>
      </c>
      <c r="AQ226" s="224">
        <f t="shared" si="58"/>
        <v>0.82485875706214684</v>
      </c>
      <c r="AR226" s="158">
        <v>3009</v>
      </c>
      <c r="AS226" s="229">
        <f t="shared" si="59"/>
        <v>0.62566170910007557</v>
      </c>
      <c r="AT226" s="230">
        <v>3967</v>
      </c>
      <c r="AU226" s="203">
        <v>13.577759871071715</v>
      </c>
      <c r="AV226" s="204">
        <v>64.302981466559231</v>
      </c>
      <c r="AW226" s="205">
        <v>22.119258662369056</v>
      </c>
      <c r="AX226" s="123">
        <v>8.0565999999999995</v>
      </c>
      <c r="AY226" s="281">
        <v>2.8798411122144985</v>
      </c>
      <c r="AZ226" s="282">
        <v>41.906653426017876</v>
      </c>
      <c r="BA226" s="283">
        <f t="shared" si="60"/>
        <v>55.213505461767632</v>
      </c>
      <c r="BB226" s="234">
        <v>66.262626262626256</v>
      </c>
      <c r="BC226" s="20">
        <v>2008</v>
      </c>
      <c r="BD226" s="263" t="s">
        <v>556</v>
      </c>
      <c r="BE226" s="261" t="s">
        <v>556</v>
      </c>
      <c r="BF226" s="259" t="s">
        <v>556</v>
      </c>
      <c r="BG226" s="256">
        <v>61.707219784603105</v>
      </c>
      <c r="BH226" s="248" t="s">
        <v>556</v>
      </c>
      <c r="BI226" s="249">
        <v>20.958605664488019</v>
      </c>
      <c r="BJ226" s="311" t="s">
        <v>1715</v>
      </c>
      <c r="BK226" s="307" t="s">
        <v>556</v>
      </c>
      <c r="BL226" s="319" t="s">
        <v>1728</v>
      </c>
      <c r="BM226" s="320" t="s">
        <v>556</v>
      </c>
      <c r="BN226" s="321" t="s">
        <v>2094</v>
      </c>
      <c r="BO226" s="145" t="s">
        <v>556</v>
      </c>
      <c r="BP226" s="14">
        <v>2</v>
      </c>
      <c r="BQ226" s="14" t="s">
        <v>556</v>
      </c>
    </row>
    <row r="227" spans="1:70" s="56" customFormat="1" ht="13.95" customHeight="1" x14ac:dyDescent="0.3">
      <c r="A227" s="56" t="s">
        <v>461</v>
      </c>
      <c r="B227" s="77" t="s">
        <v>464</v>
      </c>
      <c r="C227" s="74" t="s">
        <v>122</v>
      </c>
      <c r="D227" s="58">
        <v>1</v>
      </c>
      <c r="E227" s="97" t="s">
        <v>616</v>
      </c>
      <c r="F227" s="60" t="s">
        <v>453</v>
      </c>
      <c r="G227" s="75" t="s">
        <v>117</v>
      </c>
      <c r="H227" s="75" t="s">
        <v>117</v>
      </c>
      <c r="I227" s="76" t="s">
        <v>122</v>
      </c>
      <c r="J227" s="63" t="s">
        <v>2091</v>
      </c>
      <c r="K227" s="99" t="s">
        <v>2095</v>
      </c>
      <c r="L227" s="130">
        <v>493693132</v>
      </c>
      <c r="M227" s="109" t="s">
        <v>564</v>
      </c>
      <c r="N227" s="12" t="s">
        <v>1104</v>
      </c>
      <c r="O227" s="100" t="s">
        <v>1105</v>
      </c>
      <c r="P227" s="131">
        <v>607618022</v>
      </c>
      <c r="Q227" s="67"/>
      <c r="R227" s="68"/>
      <c r="S227" s="99"/>
      <c r="T227" s="65"/>
      <c r="U227" s="170">
        <f>95718+627952</f>
        <v>723670</v>
      </c>
      <c r="V227" s="48">
        <f t="shared" si="48"/>
        <v>808.56983240223462</v>
      </c>
      <c r="W227" s="171">
        <f t="shared" si="49"/>
        <v>810.05862058659545</v>
      </c>
      <c r="X227" s="69">
        <f>1310309+25000</f>
        <v>1335309</v>
      </c>
      <c r="Y227" s="48">
        <f t="shared" si="50"/>
        <v>1491.9653631284916</v>
      </c>
      <c r="Z227" s="137">
        <f t="shared" si="51"/>
        <v>1494.7124609239931</v>
      </c>
      <c r="AA227" s="69">
        <v>0</v>
      </c>
      <c r="AB227" s="48">
        <f t="shared" si="52"/>
        <v>0</v>
      </c>
      <c r="AC227" s="137">
        <f t="shared" si="53"/>
        <v>0</v>
      </c>
      <c r="AD227" s="70">
        <f t="shared" si="54"/>
        <v>2058979</v>
      </c>
      <c r="AE227" s="71">
        <f t="shared" si="55"/>
        <v>2300.5351955307265</v>
      </c>
      <c r="AF227" s="193">
        <f t="shared" si="56"/>
        <v>2304.7710815105884</v>
      </c>
      <c r="AG227" s="185">
        <f t="shared" si="57"/>
        <v>2.2924667371819852E-2</v>
      </c>
      <c r="AH227" s="180">
        <f t="shared" si="61"/>
        <v>0.1531408702119747</v>
      </c>
      <c r="AI227" s="189">
        <v>895</v>
      </c>
      <c r="AJ227" s="126">
        <v>893.35509999999999</v>
      </c>
      <c r="AK227" s="150">
        <v>437</v>
      </c>
      <c r="AL227" s="221">
        <v>270</v>
      </c>
      <c r="AM227" s="216">
        <v>74.798927613941018</v>
      </c>
      <c r="AN227" s="213">
        <v>2.3668639053254434</v>
      </c>
      <c r="AO227" s="128">
        <v>17.963000000000001</v>
      </c>
      <c r="AP227" s="134">
        <v>2.6890000000000001</v>
      </c>
      <c r="AQ227" s="224">
        <f t="shared" si="58"/>
        <v>0.94809322033898302</v>
      </c>
      <c r="AR227" s="158">
        <v>944</v>
      </c>
      <c r="AS227" s="229">
        <f t="shared" si="59"/>
        <v>0.58765594221930395</v>
      </c>
      <c r="AT227" s="230">
        <v>1523</v>
      </c>
      <c r="AU227" s="203">
        <v>14.413407821229049</v>
      </c>
      <c r="AV227" s="204">
        <v>66.256983240223477</v>
      </c>
      <c r="AW227" s="205">
        <v>19.329608938547484</v>
      </c>
      <c r="AX227" s="123">
        <v>5.2365000000000004</v>
      </c>
      <c r="AY227" s="281">
        <v>2.75</v>
      </c>
      <c r="AZ227" s="282">
        <v>41.75</v>
      </c>
      <c r="BA227" s="283">
        <f t="shared" si="60"/>
        <v>55.5</v>
      </c>
      <c r="BB227" s="234">
        <v>60.454545454545446</v>
      </c>
      <c r="BC227" s="20">
        <v>1997</v>
      </c>
      <c r="BD227" s="263" t="s">
        <v>556</v>
      </c>
      <c r="BE227" s="261" t="s">
        <v>556</v>
      </c>
      <c r="BF227" s="259" t="s">
        <v>556</v>
      </c>
      <c r="BG227" s="256">
        <v>66.891891891891902</v>
      </c>
      <c r="BH227" s="248" t="s">
        <v>556</v>
      </c>
      <c r="BI227" s="249">
        <v>26.762246117084825</v>
      </c>
      <c r="BJ227" s="308" t="s">
        <v>556</v>
      </c>
      <c r="BK227" s="307" t="s">
        <v>556</v>
      </c>
      <c r="BL227" s="319" t="s">
        <v>1728</v>
      </c>
      <c r="BM227" s="320" t="s">
        <v>556</v>
      </c>
      <c r="BN227" s="321" t="s">
        <v>2039</v>
      </c>
      <c r="BO227" s="145" t="s">
        <v>556</v>
      </c>
      <c r="BP227" s="14" t="s">
        <v>556</v>
      </c>
      <c r="BQ227" s="14" t="s">
        <v>557</v>
      </c>
    </row>
    <row r="228" spans="1:70" s="56" customFormat="1" ht="13.95" customHeight="1" x14ac:dyDescent="0.3">
      <c r="A228" s="56" t="s">
        <v>459</v>
      </c>
      <c r="B228" s="57" t="s">
        <v>462</v>
      </c>
      <c r="C228" s="55" t="s">
        <v>164</v>
      </c>
      <c r="D228" s="58">
        <v>1</v>
      </c>
      <c r="E228" s="59"/>
      <c r="F228" s="60" t="s">
        <v>453</v>
      </c>
      <c r="G228" s="61" t="s">
        <v>117</v>
      </c>
      <c r="H228" s="61" t="s">
        <v>117</v>
      </c>
      <c r="I228" s="62" t="s">
        <v>117</v>
      </c>
      <c r="J228" s="63" t="s">
        <v>2096</v>
      </c>
      <c r="K228" s="101" t="s">
        <v>2097</v>
      </c>
      <c r="L228" s="130">
        <v>724103153</v>
      </c>
      <c r="M228" s="109" t="s">
        <v>564</v>
      </c>
      <c r="N228" s="12" t="s">
        <v>1106</v>
      </c>
      <c r="O228" s="100" t="s">
        <v>1107</v>
      </c>
      <c r="P228" s="131">
        <v>602361787</v>
      </c>
      <c r="Q228" s="67"/>
      <c r="R228" s="68"/>
      <c r="S228" s="99"/>
      <c r="T228" s="65"/>
      <c r="U228" s="170">
        <v>473000</v>
      </c>
      <c r="V228" s="48">
        <f t="shared" si="48"/>
        <v>1530.7443365695792</v>
      </c>
      <c r="W228" s="171">
        <f t="shared" si="49"/>
        <v>1436.0718788890451</v>
      </c>
      <c r="X228" s="69">
        <v>10000</v>
      </c>
      <c r="Y228" s="48">
        <f t="shared" si="50"/>
        <v>32.362459546925564</v>
      </c>
      <c r="Z228" s="137">
        <f t="shared" si="51"/>
        <v>30.360927672072833</v>
      </c>
      <c r="AA228" s="69">
        <v>0</v>
      </c>
      <c r="AB228" s="48">
        <f t="shared" si="52"/>
        <v>0</v>
      </c>
      <c r="AC228" s="137">
        <f t="shared" si="53"/>
        <v>0</v>
      </c>
      <c r="AD228" s="70">
        <f t="shared" si="54"/>
        <v>483000</v>
      </c>
      <c r="AE228" s="71">
        <f t="shared" si="55"/>
        <v>1563.1067961165049</v>
      </c>
      <c r="AF228" s="193">
        <f t="shared" si="56"/>
        <v>1466.432806561118</v>
      </c>
      <c r="AG228" s="185">
        <f t="shared" si="57"/>
        <v>2.1495327102803739E-2</v>
      </c>
      <c r="AH228" s="180">
        <f t="shared" si="61"/>
        <v>0.60375000000000001</v>
      </c>
      <c r="AI228" s="189">
        <v>309</v>
      </c>
      <c r="AJ228" s="125">
        <v>329.3707</v>
      </c>
      <c r="AK228" s="149">
        <v>94</v>
      </c>
      <c r="AL228" s="221">
        <v>76</v>
      </c>
      <c r="AM228" s="216">
        <v>87.368421052631589</v>
      </c>
      <c r="AN228" s="213">
        <v>3.6036036036036041</v>
      </c>
      <c r="AO228" s="127">
        <v>4.4939999999999998</v>
      </c>
      <c r="AP228" s="133">
        <v>0.16</v>
      </c>
      <c r="AQ228" s="224">
        <f t="shared" si="58"/>
        <v>1.3672566371681416</v>
      </c>
      <c r="AR228" s="158">
        <v>226</v>
      </c>
      <c r="AS228" s="229">
        <f t="shared" si="59"/>
        <v>1.0510204081632653</v>
      </c>
      <c r="AT228" s="230">
        <v>294</v>
      </c>
      <c r="AU228" s="203">
        <v>22.653721682847898</v>
      </c>
      <c r="AV228" s="204">
        <v>66.019417475728147</v>
      </c>
      <c r="AW228" s="205">
        <v>11.326860841423949</v>
      </c>
      <c r="AX228" s="123">
        <v>6.7961</v>
      </c>
      <c r="AY228" s="281">
        <v>9.8484848484848477</v>
      </c>
      <c r="AZ228" s="282">
        <v>29.545454545454547</v>
      </c>
      <c r="BA228" s="283">
        <f t="shared" si="60"/>
        <v>60.606060606060609</v>
      </c>
      <c r="BB228" s="234">
        <v>80.555555555555557</v>
      </c>
      <c r="BC228" s="20">
        <v>1997</v>
      </c>
      <c r="BD228" s="263" t="s">
        <v>556</v>
      </c>
      <c r="BE228" s="261" t="s">
        <v>556</v>
      </c>
      <c r="BF228" s="260" t="s">
        <v>557</v>
      </c>
      <c r="BG228" s="256">
        <v>36.785714285714292</v>
      </c>
      <c r="BH228" s="248" t="s">
        <v>556</v>
      </c>
      <c r="BI228" s="249">
        <v>75</v>
      </c>
      <c r="BJ228" s="309" t="s">
        <v>557</v>
      </c>
      <c r="BK228" s="307" t="s">
        <v>750</v>
      </c>
      <c r="BL228" s="319" t="s">
        <v>1728</v>
      </c>
      <c r="BM228" s="320" t="s">
        <v>556</v>
      </c>
      <c r="BN228" s="321" t="s">
        <v>2098</v>
      </c>
      <c r="BO228" s="145" t="s">
        <v>556</v>
      </c>
      <c r="BP228" s="14" t="s">
        <v>556</v>
      </c>
      <c r="BQ228" s="14" t="s">
        <v>557</v>
      </c>
    </row>
    <row r="229" spans="1:70" s="72" customFormat="1" ht="13.95" customHeight="1" x14ac:dyDescent="0.3">
      <c r="A229" s="56" t="s">
        <v>459</v>
      </c>
      <c r="B229" s="57" t="s">
        <v>463</v>
      </c>
      <c r="C229" s="55" t="s">
        <v>429</v>
      </c>
      <c r="D229" s="58">
        <v>3</v>
      </c>
      <c r="E229" s="59" t="s">
        <v>1224</v>
      </c>
      <c r="F229" s="60" t="s">
        <v>456</v>
      </c>
      <c r="G229" s="61" t="s">
        <v>378</v>
      </c>
      <c r="H229" s="61" t="s">
        <v>378</v>
      </c>
      <c r="I229" s="62" t="s">
        <v>378</v>
      </c>
      <c r="J229" s="63" t="s">
        <v>2099</v>
      </c>
      <c r="K229" s="99" t="s">
        <v>2100</v>
      </c>
      <c r="L229" s="130">
        <v>499873110</v>
      </c>
      <c r="M229" s="109" t="s">
        <v>537</v>
      </c>
      <c r="N229" s="12" t="s">
        <v>1620</v>
      </c>
      <c r="O229" s="100" t="s">
        <v>1621</v>
      </c>
      <c r="P229" s="130">
        <v>493034601</v>
      </c>
      <c r="Q229" s="84"/>
      <c r="R229" s="56"/>
      <c r="S229" s="105"/>
      <c r="T229" s="112"/>
      <c r="U229" s="172">
        <v>0</v>
      </c>
      <c r="V229" s="135">
        <f t="shared" si="48"/>
        <v>0</v>
      </c>
      <c r="W229" s="173">
        <f t="shared" si="49"/>
        <v>0</v>
      </c>
      <c r="X229" s="69">
        <f>399110+98000</f>
        <v>497110</v>
      </c>
      <c r="Y229" s="48">
        <f t="shared" si="50"/>
        <v>217.64886164623468</v>
      </c>
      <c r="Z229" s="137">
        <f t="shared" si="51"/>
        <v>185.60823933161467</v>
      </c>
      <c r="AA229" s="69">
        <v>0</v>
      </c>
      <c r="AB229" s="48">
        <f t="shared" si="52"/>
        <v>0</v>
      </c>
      <c r="AC229" s="137">
        <f t="shared" si="53"/>
        <v>0</v>
      </c>
      <c r="AD229" s="70">
        <f t="shared" si="54"/>
        <v>497110</v>
      </c>
      <c r="AE229" s="71">
        <f t="shared" si="55"/>
        <v>217.64886164623468</v>
      </c>
      <c r="AF229" s="193">
        <f t="shared" si="56"/>
        <v>185.60823933161467</v>
      </c>
      <c r="AG229" s="185">
        <f t="shared" si="57"/>
        <v>3.2169158092279818E-3</v>
      </c>
      <c r="AH229" s="180">
        <f t="shared" si="61"/>
        <v>1.4044639073315442E-2</v>
      </c>
      <c r="AI229" s="189">
        <v>2284</v>
      </c>
      <c r="AJ229" s="125">
        <v>2678.2755000000002</v>
      </c>
      <c r="AK229" s="149">
        <v>605</v>
      </c>
      <c r="AL229" s="221">
        <v>440</v>
      </c>
      <c r="AM229" s="216">
        <v>49.52153110047847</v>
      </c>
      <c r="AN229" s="213">
        <v>5.8291457286432165</v>
      </c>
      <c r="AO229" s="127">
        <v>30.905999999999999</v>
      </c>
      <c r="AP229" s="133">
        <v>7.0789999999999997</v>
      </c>
      <c r="AQ229" s="224">
        <f t="shared" si="58"/>
        <v>1.118511263467189</v>
      </c>
      <c r="AR229" s="158">
        <v>2042</v>
      </c>
      <c r="AS229" s="229">
        <f t="shared" si="59"/>
        <v>0.46736239001432373</v>
      </c>
      <c r="AT229" s="230">
        <v>4887</v>
      </c>
      <c r="AU229" s="203">
        <v>14.754816112084063</v>
      </c>
      <c r="AV229" s="204">
        <v>69.264448336252201</v>
      </c>
      <c r="AW229" s="205">
        <v>15.980735551663747</v>
      </c>
      <c r="AX229" s="123">
        <v>6.1908000000000003</v>
      </c>
      <c r="AY229" s="281">
        <v>2.685284640171858</v>
      </c>
      <c r="AZ229" s="282">
        <v>39.097744360902254</v>
      </c>
      <c r="BA229" s="283">
        <f t="shared" si="60"/>
        <v>58.216970998925888</v>
      </c>
      <c r="BB229" s="234">
        <v>63.302752293577981</v>
      </c>
      <c r="BC229" s="20">
        <v>2001</v>
      </c>
      <c r="BD229" s="263" t="s">
        <v>556</v>
      </c>
      <c r="BE229" s="261" t="s">
        <v>556</v>
      </c>
      <c r="BF229" s="259" t="s">
        <v>556</v>
      </c>
      <c r="BG229" s="256">
        <v>63.947491795593059</v>
      </c>
      <c r="BH229" s="254" t="s">
        <v>557</v>
      </c>
      <c r="BI229" s="249">
        <v>0</v>
      </c>
      <c r="BJ229" s="308" t="s">
        <v>556</v>
      </c>
      <c r="BK229" s="307" t="s">
        <v>556</v>
      </c>
      <c r="BL229" s="319" t="s">
        <v>1728</v>
      </c>
      <c r="BM229" s="320" t="s">
        <v>556</v>
      </c>
      <c r="BN229" s="321" t="s">
        <v>2101</v>
      </c>
      <c r="BO229" s="145" t="s">
        <v>556</v>
      </c>
      <c r="BP229" s="14" t="s">
        <v>556</v>
      </c>
      <c r="BQ229" s="14" t="s">
        <v>556</v>
      </c>
      <c r="BR229" s="56"/>
    </row>
    <row r="230" spans="1:70" s="56" customFormat="1" ht="13.95" customHeight="1" x14ac:dyDescent="0.3">
      <c r="A230" s="56" t="s">
        <v>459</v>
      </c>
      <c r="B230" s="57" t="s">
        <v>462</v>
      </c>
      <c r="C230" s="55" t="s">
        <v>165</v>
      </c>
      <c r="D230" s="58">
        <v>8</v>
      </c>
      <c r="E230" s="59" t="s">
        <v>592</v>
      </c>
      <c r="F230" s="60" t="s">
        <v>453</v>
      </c>
      <c r="G230" s="61" t="s">
        <v>113</v>
      </c>
      <c r="H230" s="61" t="s">
        <v>159</v>
      </c>
      <c r="I230" s="62" t="s">
        <v>159</v>
      </c>
      <c r="J230" s="63" t="s">
        <v>2102</v>
      </c>
      <c r="K230" s="99" t="s">
        <v>1109</v>
      </c>
      <c r="L230" s="130" t="s">
        <v>2174</v>
      </c>
      <c r="M230" s="109" t="s">
        <v>564</v>
      </c>
      <c r="N230" s="12" t="s">
        <v>1108</v>
      </c>
      <c r="O230" s="100"/>
      <c r="P230" s="131">
        <v>606323381</v>
      </c>
      <c r="Q230" s="67"/>
      <c r="R230" s="68"/>
      <c r="S230" s="99"/>
      <c r="T230" s="65"/>
      <c r="U230" s="170">
        <f>405000+67840</f>
        <v>472840</v>
      </c>
      <c r="V230" s="48">
        <f t="shared" si="48"/>
        <v>930.7874015748032</v>
      </c>
      <c r="W230" s="171">
        <f t="shared" si="49"/>
        <v>392.38173322124959</v>
      </c>
      <c r="X230" s="69">
        <v>800</v>
      </c>
      <c r="Y230" s="48">
        <f t="shared" si="50"/>
        <v>1.5748031496062993</v>
      </c>
      <c r="Z230" s="137">
        <f t="shared" si="51"/>
        <v>0.66387231743718733</v>
      </c>
      <c r="AA230" s="69">
        <v>0</v>
      </c>
      <c r="AB230" s="48">
        <f t="shared" si="52"/>
        <v>0</v>
      </c>
      <c r="AC230" s="137">
        <f t="shared" si="53"/>
        <v>0</v>
      </c>
      <c r="AD230" s="70">
        <f t="shared" si="54"/>
        <v>473640</v>
      </c>
      <c r="AE230" s="71">
        <f t="shared" si="55"/>
        <v>932.36220472440948</v>
      </c>
      <c r="AF230" s="193">
        <f t="shared" si="56"/>
        <v>393.04560553868674</v>
      </c>
      <c r="AG230" s="185">
        <f t="shared" si="57"/>
        <v>1.260854518834021E-2</v>
      </c>
      <c r="AH230" s="180">
        <f t="shared" si="61"/>
        <v>0.12497097625329816</v>
      </c>
      <c r="AI230" s="189">
        <v>508</v>
      </c>
      <c r="AJ230" s="125">
        <v>1205.0509999999999</v>
      </c>
      <c r="AK230" s="149">
        <v>393</v>
      </c>
      <c r="AL230" s="221">
        <v>148</v>
      </c>
      <c r="AM230" s="216">
        <v>81.770833333333343</v>
      </c>
      <c r="AN230" s="213">
        <v>8.1395348837209305</v>
      </c>
      <c r="AO230" s="127">
        <v>7.5129999999999999</v>
      </c>
      <c r="AP230" s="133">
        <v>0.75800000000000001</v>
      </c>
      <c r="AQ230" s="224">
        <f t="shared" si="58"/>
        <v>0.88347826086956527</v>
      </c>
      <c r="AR230" s="158">
        <v>575</v>
      </c>
      <c r="AS230" s="229">
        <f t="shared" si="59"/>
        <v>0.46350364963503649</v>
      </c>
      <c r="AT230" s="230">
        <v>1096</v>
      </c>
      <c r="AU230" s="203">
        <v>11.41732283464567</v>
      </c>
      <c r="AV230" s="204">
        <v>65.354330708661408</v>
      </c>
      <c r="AW230" s="205">
        <v>23.228346456692915</v>
      </c>
      <c r="AX230" s="123">
        <v>2.6705999999999999</v>
      </c>
      <c r="AY230" s="281">
        <v>6.5326633165829149</v>
      </c>
      <c r="AZ230" s="282">
        <v>43.718592964824118</v>
      </c>
      <c r="BA230" s="283">
        <f t="shared" si="60"/>
        <v>49.748743718592969</v>
      </c>
      <c r="BB230" s="234">
        <v>67.592592592592595</v>
      </c>
      <c r="BC230" s="20">
        <v>2006</v>
      </c>
      <c r="BD230" s="263" t="s">
        <v>556</v>
      </c>
      <c r="BE230" s="261" t="s">
        <v>556</v>
      </c>
      <c r="BF230" s="260" t="s">
        <v>557</v>
      </c>
      <c r="BG230" s="256">
        <v>29.336188436830835</v>
      </c>
      <c r="BH230" s="254" t="s">
        <v>557</v>
      </c>
      <c r="BI230" s="249">
        <v>0</v>
      </c>
      <c r="BJ230" s="308" t="s">
        <v>556</v>
      </c>
      <c r="BK230" s="307" t="s">
        <v>557</v>
      </c>
      <c r="BL230" s="319" t="s">
        <v>1728</v>
      </c>
      <c r="BM230" s="320" t="s">
        <v>556</v>
      </c>
      <c r="BN230" s="321" t="s">
        <v>1940</v>
      </c>
      <c r="BO230" s="145" t="s">
        <v>556</v>
      </c>
      <c r="BP230" s="14" t="s">
        <v>556</v>
      </c>
      <c r="BQ230" s="14" t="s">
        <v>556</v>
      </c>
    </row>
    <row r="231" spans="1:70" s="56" customFormat="1" ht="13.95" customHeight="1" x14ac:dyDescent="0.3">
      <c r="A231" s="56" t="s">
        <v>459</v>
      </c>
      <c r="B231" s="57" t="s">
        <v>463</v>
      </c>
      <c r="C231" s="55" t="s">
        <v>166</v>
      </c>
      <c r="D231" s="58">
        <v>2</v>
      </c>
      <c r="E231" s="59" t="s">
        <v>593</v>
      </c>
      <c r="F231" s="60" t="s">
        <v>453</v>
      </c>
      <c r="G231" s="61" t="s">
        <v>113</v>
      </c>
      <c r="H231" s="61" t="s">
        <v>144</v>
      </c>
      <c r="I231" s="62" t="s">
        <v>144</v>
      </c>
      <c r="J231" s="63" t="s">
        <v>2103</v>
      </c>
      <c r="K231" s="99" t="s">
        <v>1111</v>
      </c>
      <c r="L231" s="130">
        <v>493697223</v>
      </c>
      <c r="M231" s="109" t="s">
        <v>564</v>
      </c>
      <c r="N231" s="12" t="s">
        <v>1110</v>
      </c>
      <c r="O231" s="100"/>
      <c r="P231" s="131">
        <v>725081058</v>
      </c>
      <c r="Q231" s="67"/>
      <c r="R231" s="68"/>
      <c r="S231" s="99"/>
      <c r="T231" s="65"/>
      <c r="U231" s="170">
        <v>496000</v>
      </c>
      <c r="V231" s="48">
        <f t="shared" si="48"/>
        <v>884.13547237076648</v>
      </c>
      <c r="W231" s="171">
        <f t="shared" si="49"/>
        <v>582.16796062103242</v>
      </c>
      <c r="X231" s="69">
        <v>335917</v>
      </c>
      <c r="Y231" s="48">
        <f t="shared" si="50"/>
        <v>598.78253119429587</v>
      </c>
      <c r="Z231" s="137">
        <f t="shared" si="51"/>
        <v>394.27442505632121</v>
      </c>
      <c r="AA231" s="69">
        <v>0</v>
      </c>
      <c r="AB231" s="48">
        <f t="shared" si="52"/>
        <v>0</v>
      </c>
      <c r="AC231" s="137">
        <f t="shared" si="53"/>
        <v>0</v>
      </c>
      <c r="AD231" s="70">
        <f t="shared" si="54"/>
        <v>831917</v>
      </c>
      <c r="AE231" s="71">
        <f t="shared" si="55"/>
        <v>1482.9180035650625</v>
      </c>
      <c r="AF231" s="193">
        <f t="shared" si="56"/>
        <v>976.44238567735363</v>
      </c>
      <c r="AG231" s="185">
        <f t="shared" si="57"/>
        <v>1.5490494367377337E-2</v>
      </c>
      <c r="AH231" s="180">
        <f t="shared" si="61"/>
        <v>3.6280723942433493E-2</v>
      </c>
      <c r="AI231" s="189">
        <v>561</v>
      </c>
      <c r="AJ231" s="125">
        <v>851.98779999999999</v>
      </c>
      <c r="AK231" s="149">
        <v>238</v>
      </c>
      <c r="AL231" s="221">
        <v>160</v>
      </c>
      <c r="AM231" s="216">
        <v>78.048780487804876</v>
      </c>
      <c r="AN231" s="213">
        <v>16.058394160583941</v>
      </c>
      <c r="AO231" s="127">
        <v>10.741</v>
      </c>
      <c r="AP231" s="133">
        <v>4.5860000000000003</v>
      </c>
      <c r="AQ231" s="224">
        <f t="shared" si="58"/>
        <v>0.93812709030100339</v>
      </c>
      <c r="AR231" s="158">
        <v>598</v>
      </c>
      <c r="AS231" s="229">
        <f t="shared" si="59"/>
        <v>0.76639344262295084</v>
      </c>
      <c r="AT231" s="230">
        <v>732</v>
      </c>
      <c r="AU231" s="203">
        <v>11.586452762923351</v>
      </c>
      <c r="AV231" s="204">
        <v>60.427807486631011</v>
      </c>
      <c r="AW231" s="205">
        <v>27.985739750445632</v>
      </c>
      <c r="AX231" s="123">
        <v>2.8409</v>
      </c>
      <c r="AY231" s="281">
        <v>9.7087378640776691</v>
      </c>
      <c r="AZ231" s="282">
        <v>31.55339805825243</v>
      </c>
      <c r="BA231" s="283">
        <f t="shared" si="60"/>
        <v>58.737864077669897</v>
      </c>
      <c r="BB231" s="234">
        <v>78.82352941176471</v>
      </c>
      <c r="BC231" s="20">
        <v>2005</v>
      </c>
      <c r="BD231" s="263" t="s">
        <v>556</v>
      </c>
      <c r="BE231" s="261" t="s">
        <v>556</v>
      </c>
      <c r="BF231" s="260" t="s">
        <v>557</v>
      </c>
      <c r="BG231" s="256">
        <v>68.356997971602425</v>
      </c>
      <c r="BH231" s="248" t="s">
        <v>556</v>
      </c>
      <c r="BI231" s="249">
        <v>68.682505399568043</v>
      </c>
      <c r="BJ231" s="308" t="s">
        <v>556</v>
      </c>
      <c r="BK231" s="307" t="s">
        <v>557</v>
      </c>
      <c r="BL231" s="319" t="s">
        <v>1728</v>
      </c>
      <c r="BM231" s="320" t="s">
        <v>556</v>
      </c>
      <c r="BN231" s="321" t="s">
        <v>2098</v>
      </c>
      <c r="BO231" s="145" t="s">
        <v>556</v>
      </c>
      <c r="BP231" s="14" t="s">
        <v>556</v>
      </c>
      <c r="BQ231" s="14" t="s">
        <v>557</v>
      </c>
    </row>
    <row r="232" spans="1:70" s="56" customFormat="1" ht="13.95" customHeight="1" x14ac:dyDescent="0.3">
      <c r="A232" s="56" t="s">
        <v>459</v>
      </c>
      <c r="B232" s="57" t="s">
        <v>462</v>
      </c>
      <c r="C232" s="55" t="s">
        <v>62</v>
      </c>
      <c r="D232" s="58">
        <v>1</v>
      </c>
      <c r="E232" s="59"/>
      <c r="F232" s="60" t="s">
        <v>452</v>
      </c>
      <c r="G232" s="61" t="s">
        <v>7</v>
      </c>
      <c r="H232" s="61" t="s">
        <v>7</v>
      </c>
      <c r="I232" s="62" t="s">
        <v>524</v>
      </c>
      <c r="J232" s="63" t="s">
        <v>2105</v>
      </c>
      <c r="K232" s="99" t="s">
        <v>888</v>
      </c>
      <c r="L232" s="130">
        <v>495497434</v>
      </c>
      <c r="M232" s="109" t="s">
        <v>564</v>
      </c>
      <c r="N232" s="12" t="s">
        <v>889</v>
      </c>
      <c r="O232" s="100"/>
      <c r="P232" s="131">
        <v>724186945</v>
      </c>
      <c r="Q232" s="67"/>
      <c r="R232" s="68"/>
      <c r="S232" s="99"/>
      <c r="T232" s="65"/>
      <c r="U232" s="170">
        <v>260000</v>
      </c>
      <c r="V232" s="48">
        <f t="shared" si="48"/>
        <v>1074.3801652892562</v>
      </c>
      <c r="W232" s="171">
        <f t="shared" si="49"/>
        <v>446.39522975189868</v>
      </c>
      <c r="X232" s="69">
        <v>53000</v>
      </c>
      <c r="Y232" s="48">
        <f t="shared" si="50"/>
        <v>219.0082644628099</v>
      </c>
      <c r="Z232" s="137">
        <f t="shared" si="51"/>
        <v>90.995950680194738</v>
      </c>
      <c r="AA232" s="69">
        <v>0</v>
      </c>
      <c r="AB232" s="48">
        <f t="shared" si="52"/>
        <v>0</v>
      </c>
      <c r="AC232" s="137">
        <f t="shared" si="53"/>
        <v>0</v>
      </c>
      <c r="AD232" s="70">
        <f t="shared" si="54"/>
        <v>313000</v>
      </c>
      <c r="AE232" s="71">
        <f t="shared" si="55"/>
        <v>1293.388429752066</v>
      </c>
      <c r="AF232" s="193">
        <f t="shared" si="56"/>
        <v>537.39118043209339</v>
      </c>
      <c r="AG232" s="185">
        <f t="shared" si="57"/>
        <v>1.9538077403245944E-2</v>
      </c>
      <c r="AH232" s="180">
        <f t="shared" si="61"/>
        <v>8.0359435173299104E-2</v>
      </c>
      <c r="AI232" s="189">
        <v>242</v>
      </c>
      <c r="AJ232" s="125">
        <v>582.44349999999997</v>
      </c>
      <c r="AK232" s="149">
        <v>109</v>
      </c>
      <c r="AL232" s="221">
        <v>76</v>
      </c>
      <c r="AM232" s="216">
        <v>98.94736842105263</v>
      </c>
      <c r="AN232" s="213">
        <v>8.5271317829457356</v>
      </c>
      <c r="AO232" s="127">
        <v>3.2040000000000002</v>
      </c>
      <c r="AP232" s="133">
        <v>0.77900000000000003</v>
      </c>
      <c r="AQ232" s="224">
        <f t="shared" si="58"/>
        <v>1.0476190476190477</v>
      </c>
      <c r="AR232" s="158">
        <v>231</v>
      </c>
      <c r="AS232" s="229">
        <f t="shared" si="59"/>
        <v>0.54504504504504503</v>
      </c>
      <c r="AT232" s="230">
        <v>444</v>
      </c>
      <c r="AU232" s="203">
        <v>15.289256198347106</v>
      </c>
      <c r="AV232" s="204">
        <v>62.809917355371908</v>
      </c>
      <c r="AW232" s="205">
        <v>21.900826446280991</v>
      </c>
      <c r="AX232" s="123">
        <v>5.3691000000000004</v>
      </c>
      <c r="AY232" s="281">
        <v>15.384615384615385</v>
      </c>
      <c r="AZ232" s="282">
        <v>32.967032967032964</v>
      </c>
      <c r="BA232" s="283">
        <f t="shared" si="60"/>
        <v>51.64835164835165</v>
      </c>
      <c r="BB232" s="234">
        <v>93.75</v>
      </c>
      <c r="BC232" s="20">
        <v>2006</v>
      </c>
      <c r="BD232" s="263" t="s">
        <v>556</v>
      </c>
      <c r="BE232" s="261" t="s">
        <v>556</v>
      </c>
      <c r="BF232" s="260" t="s">
        <v>557</v>
      </c>
      <c r="BG232" s="256">
        <v>22.083333333333332</v>
      </c>
      <c r="BH232" s="248" t="s">
        <v>556</v>
      </c>
      <c r="BI232" s="249">
        <v>65.333333333333329</v>
      </c>
      <c r="BJ232" s="309" t="s">
        <v>557</v>
      </c>
      <c r="BK232" s="307" t="s">
        <v>557</v>
      </c>
      <c r="BL232" s="319" t="s">
        <v>1728</v>
      </c>
      <c r="BM232" s="320" t="s">
        <v>557</v>
      </c>
      <c r="BN232" s="321" t="s">
        <v>557</v>
      </c>
      <c r="BO232" s="145" t="s">
        <v>557</v>
      </c>
      <c r="BP232" s="14" t="s">
        <v>557</v>
      </c>
      <c r="BQ232" s="14" t="s">
        <v>557</v>
      </c>
    </row>
    <row r="233" spans="1:70" s="56" customFormat="1" ht="13.95" customHeight="1" x14ac:dyDescent="0.3">
      <c r="A233" s="56" t="s">
        <v>459</v>
      </c>
      <c r="B233" s="57" t="s">
        <v>462</v>
      </c>
      <c r="C233" s="55" t="s">
        <v>343</v>
      </c>
      <c r="D233" s="58">
        <v>1</v>
      </c>
      <c r="E233" s="59"/>
      <c r="F233" s="60" t="s">
        <v>455</v>
      </c>
      <c r="G233" s="61" t="s">
        <v>304</v>
      </c>
      <c r="H233" s="61" t="s">
        <v>38</v>
      </c>
      <c r="I233" s="62" t="s">
        <v>38</v>
      </c>
      <c r="J233" s="63" t="s">
        <v>535</v>
      </c>
      <c r="K233" s="99" t="s">
        <v>536</v>
      </c>
      <c r="L233" s="130" t="s">
        <v>2106</v>
      </c>
      <c r="M233" s="109" t="s">
        <v>537</v>
      </c>
      <c r="N233" s="12" t="s">
        <v>538</v>
      </c>
      <c r="O233" s="100"/>
      <c r="P233" s="131">
        <v>601339859</v>
      </c>
      <c r="Q233" s="67" t="s">
        <v>540</v>
      </c>
      <c r="R233" s="68" t="s">
        <v>541</v>
      </c>
      <c r="S233" s="99" t="s">
        <v>542</v>
      </c>
      <c r="T233" s="131">
        <v>494661294</v>
      </c>
      <c r="U233" s="170">
        <f>219000+360311</f>
        <v>579311</v>
      </c>
      <c r="V233" s="48">
        <f t="shared" si="48"/>
        <v>3967.8835616438355</v>
      </c>
      <c r="W233" s="171">
        <f t="shared" si="49"/>
        <v>984.18955745949029</v>
      </c>
      <c r="X233" s="69">
        <v>34000</v>
      </c>
      <c r="Y233" s="48">
        <f t="shared" si="50"/>
        <v>232.87671232876713</v>
      </c>
      <c r="Z233" s="137">
        <f t="shared" si="51"/>
        <v>57.762488462367656</v>
      </c>
      <c r="AA233" s="69">
        <v>50000</v>
      </c>
      <c r="AB233" s="48">
        <f t="shared" si="52"/>
        <v>342.46575342465752</v>
      </c>
      <c r="AC233" s="137">
        <f t="shared" si="53"/>
        <v>84.944835974070074</v>
      </c>
      <c r="AD233" s="70">
        <f t="shared" si="54"/>
        <v>663311</v>
      </c>
      <c r="AE233" s="71">
        <f t="shared" si="55"/>
        <v>4543.2260273972606</v>
      </c>
      <c r="AF233" s="193">
        <f t="shared" si="56"/>
        <v>1126.8968818959279</v>
      </c>
      <c r="AG233" s="185">
        <f t="shared" si="57"/>
        <v>5.5928414839797637E-2</v>
      </c>
      <c r="AH233" s="180">
        <f t="shared" si="61"/>
        <v>0.20315803981623276</v>
      </c>
      <c r="AI233" s="189">
        <v>146</v>
      </c>
      <c r="AJ233" s="125">
        <v>588.6173</v>
      </c>
      <c r="AK233" s="149">
        <v>86</v>
      </c>
      <c r="AL233" s="221">
        <v>58</v>
      </c>
      <c r="AM233" s="216">
        <v>94.029850746268664</v>
      </c>
      <c r="AN233" s="213">
        <v>8.6956521739130448</v>
      </c>
      <c r="AO233" s="127">
        <v>2.3719999999999999</v>
      </c>
      <c r="AP233" s="133">
        <v>0.65300000000000002</v>
      </c>
      <c r="AQ233" s="224">
        <f t="shared" si="58"/>
        <v>0.8066298342541437</v>
      </c>
      <c r="AR233" s="158">
        <v>181</v>
      </c>
      <c r="AS233" s="229">
        <f t="shared" si="59"/>
        <v>0.35960591133004927</v>
      </c>
      <c r="AT233" s="230">
        <v>406</v>
      </c>
      <c r="AU233" s="203">
        <v>13.698630136986301</v>
      </c>
      <c r="AV233" s="204">
        <v>68.493150684931521</v>
      </c>
      <c r="AW233" s="205">
        <v>17.80821917808219</v>
      </c>
      <c r="AX233" s="123">
        <v>2.8302</v>
      </c>
      <c r="AY233" s="281">
        <v>10.38961038961039</v>
      </c>
      <c r="AZ233" s="282">
        <v>40.259740259740262</v>
      </c>
      <c r="BA233" s="283">
        <f t="shared" si="60"/>
        <v>49.350649350649341</v>
      </c>
      <c r="BB233" s="234">
        <v>100</v>
      </c>
      <c r="BC233" s="20">
        <v>2013</v>
      </c>
      <c r="BD233" s="263" t="s">
        <v>556</v>
      </c>
      <c r="BE233" s="261" t="s">
        <v>556</v>
      </c>
      <c r="BF233" s="259" t="s">
        <v>556</v>
      </c>
      <c r="BG233" s="256">
        <v>93.292682926829272</v>
      </c>
      <c r="BH233" s="248" t="s">
        <v>556</v>
      </c>
      <c r="BI233" s="249">
        <v>34.394904458598724</v>
      </c>
      <c r="BJ233" s="309" t="s">
        <v>557</v>
      </c>
      <c r="BK233" s="307" t="s">
        <v>557</v>
      </c>
      <c r="BL233" s="319" t="s">
        <v>1728</v>
      </c>
      <c r="BM233" s="320" t="s">
        <v>556</v>
      </c>
      <c r="BN233" s="321" t="s">
        <v>558</v>
      </c>
      <c r="BO233" s="145" t="s">
        <v>557</v>
      </c>
      <c r="BP233" s="14" t="s">
        <v>556</v>
      </c>
      <c r="BQ233" s="14" t="s">
        <v>557</v>
      </c>
      <c r="BR233" s="3"/>
    </row>
    <row r="234" spans="1:70" s="56" customFormat="1" ht="13.95" customHeight="1" x14ac:dyDescent="0.3">
      <c r="A234" s="56" t="s">
        <v>459</v>
      </c>
      <c r="B234" s="57" t="s">
        <v>462</v>
      </c>
      <c r="C234" s="55" t="s">
        <v>63</v>
      </c>
      <c r="D234" s="58">
        <v>1</v>
      </c>
      <c r="E234" s="59"/>
      <c r="F234" s="60" t="s">
        <v>452</v>
      </c>
      <c r="G234" s="61" t="s">
        <v>11</v>
      </c>
      <c r="H234" s="61" t="s">
        <v>11</v>
      </c>
      <c r="I234" s="62" t="s">
        <v>11</v>
      </c>
      <c r="J234" s="63" t="s">
        <v>2104</v>
      </c>
      <c r="K234" s="99" t="s">
        <v>770</v>
      </c>
      <c r="L234" s="130">
        <v>498773921</v>
      </c>
      <c r="M234" s="109" t="s">
        <v>537</v>
      </c>
      <c r="N234" s="12" t="s">
        <v>901</v>
      </c>
      <c r="O234" s="100"/>
      <c r="P234" s="131" t="s">
        <v>2108</v>
      </c>
      <c r="Q234" s="67"/>
      <c r="R234" s="68"/>
      <c r="S234" s="99"/>
      <c r="T234" s="65"/>
      <c r="U234" s="170">
        <f>595000+6500+555000</f>
        <v>1156500</v>
      </c>
      <c r="V234" s="48">
        <f t="shared" si="48"/>
        <v>3212.5</v>
      </c>
      <c r="W234" s="171">
        <f t="shared" si="49"/>
        <v>2374.3313531840986</v>
      </c>
      <c r="X234" s="69">
        <v>52000</v>
      </c>
      <c r="Y234" s="48">
        <f t="shared" si="50"/>
        <v>144.44444444444446</v>
      </c>
      <c r="Z234" s="137">
        <f t="shared" si="51"/>
        <v>106.75765703897373</v>
      </c>
      <c r="AA234" s="69">
        <v>0</v>
      </c>
      <c r="AB234" s="48">
        <f t="shared" si="52"/>
        <v>0</v>
      </c>
      <c r="AC234" s="137">
        <f t="shared" si="53"/>
        <v>0</v>
      </c>
      <c r="AD234" s="70">
        <f t="shared" si="54"/>
        <v>1208500</v>
      </c>
      <c r="AE234" s="71">
        <f t="shared" si="55"/>
        <v>3356.9444444444443</v>
      </c>
      <c r="AF234" s="193">
        <f t="shared" si="56"/>
        <v>2481.0890102230724</v>
      </c>
      <c r="AG234" s="185">
        <f t="shared" si="57"/>
        <v>6.6437603078614627E-2</v>
      </c>
      <c r="AH234" s="180">
        <f t="shared" si="61"/>
        <v>0.19762878168438269</v>
      </c>
      <c r="AI234" s="189">
        <v>360</v>
      </c>
      <c r="AJ234" s="125">
        <v>487.08449999999999</v>
      </c>
      <c r="AK234" s="149">
        <v>118</v>
      </c>
      <c r="AL234" s="221">
        <v>88</v>
      </c>
      <c r="AM234" s="216">
        <v>100</v>
      </c>
      <c r="AN234" s="213">
        <v>4.4444444444444438</v>
      </c>
      <c r="AO234" s="127">
        <v>3.6379999999999999</v>
      </c>
      <c r="AP234" s="133">
        <v>1.2230000000000001</v>
      </c>
      <c r="AQ234" s="224">
        <f t="shared" si="58"/>
        <v>1.3584905660377358</v>
      </c>
      <c r="AR234" s="158">
        <v>265</v>
      </c>
      <c r="AS234" s="229">
        <f t="shared" si="59"/>
        <v>0.88019559902200484</v>
      </c>
      <c r="AT234" s="230">
        <v>409</v>
      </c>
      <c r="AU234" s="203">
        <v>19.166666666666668</v>
      </c>
      <c r="AV234" s="204">
        <v>66.1111111111111</v>
      </c>
      <c r="AW234" s="205">
        <v>14.722222222222223</v>
      </c>
      <c r="AX234" s="123">
        <v>7.2961</v>
      </c>
      <c r="AY234" s="281">
        <v>7.741935483870968</v>
      </c>
      <c r="AZ234" s="282">
        <v>29.677419354838708</v>
      </c>
      <c r="BA234" s="283">
        <f t="shared" si="60"/>
        <v>62.58064516129032</v>
      </c>
      <c r="BB234" s="234">
        <v>96.36363636363636</v>
      </c>
      <c r="BC234" s="20">
        <v>2005</v>
      </c>
      <c r="BD234" s="263" t="s">
        <v>556</v>
      </c>
      <c r="BE234" s="261" t="s">
        <v>556</v>
      </c>
      <c r="BF234" s="260" t="s">
        <v>557</v>
      </c>
      <c r="BG234" s="256">
        <v>22.153846153846153</v>
      </c>
      <c r="BH234" s="248" t="s">
        <v>556</v>
      </c>
      <c r="BI234" s="249">
        <v>70.926517571884986</v>
      </c>
      <c r="BJ234" s="309" t="s">
        <v>557</v>
      </c>
      <c r="BK234" s="307" t="s">
        <v>557</v>
      </c>
      <c r="BL234" s="319" t="s">
        <v>1728</v>
      </c>
      <c r="BM234" s="320" t="s">
        <v>556</v>
      </c>
      <c r="BN234" s="321" t="s">
        <v>557</v>
      </c>
      <c r="BO234" s="145" t="s">
        <v>557</v>
      </c>
      <c r="BP234" s="14" t="s">
        <v>557</v>
      </c>
      <c r="BQ234" s="14" t="s">
        <v>557</v>
      </c>
    </row>
    <row r="235" spans="1:70" s="56" customFormat="1" ht="13.95" customHeight="1" x14ac:dyDescent="0.3">
      <c r="A235" s="56" t="s">
        <v>459</v>
      </c>
      <c r="B235" s="57" t="s">
        <v>462</v>
      </c>
      <c r="C235" s="55" t="s">
        <v>386</v>
      </c>
      <c r="D235" s="58">
        <v>4</v>
      </c>
      <c r="E235" s="59" t="s">
        <v>735</v>
      </c>
      <c r="F235" s="60" t="s">
        <v>456</v>
      </c>
      <c r="G235" s="61" t="s">
        <v>531</v>
      </c>
      <c r="H235" s="61" t="s">
        <v>531</v>
      </c>
      <c r="I235" s="62" t="s">
        <v>386</v>
      </c>
      <c r="J235" s="63" t="s">
        <v>2107</v>
      </c>
      <c r="K235" s="99" t="s">
        <v>2109</v>
      </c>
      <c r="L235" s="130">
        <v>499691322</v>
      </c>
      <c r="M235" s="109" t="s">
        <v>564</v>
      </c>
      <c r="N235" s="12" t="s">
        <v>1622</v>
      </c>
      <c r="O235" s="100" t="s">
        <v>1623</v>
      </c>
      <c r="P235" s="131"/>
      <c r="Q235" s="82"/>
      <c r="R235" s="72"/>
      <c r="S235" s="115"/>
      <c r="T235" s="112"/>
      <c r="U235" s="170">
        <v>385095</v>
      </c>
      <c r="V235" s="48">
        <f t="shared" si="48"/>
        <v>305.87370929308975</v>
      </c>
      <c r="W235" s="171">
        <f t="shared" si="49"/>
        <v>289.3763171828042</v>
      </c>
      <c r="X235" s="69">
        <v>421944</v>
      </c>
      <c r="Y235" s="48">
        <f t="shared" si="50"/>
        <v>335.14217633042097</v>
      </c>
      <c r="Z235" s="137">
        <f t="shared" si="51"/>
        <v>317.0661804941148</v>
      </c>
      <c r="AA235" s="69">
        <v>0</v>
      </c>
      <c r="AB235" s="48">
        <f t="shared" si="52"/>
        <v>0</v>
      </c>
      <c r="AC235" s="137">
        <f t="shared" si="53"/>
        <v>0</v>
      </c>
      <c r="AD235" s="70">
        <f t="shared" si="54"/>
        <v>807039</v>
      </c>
      <c r="AE235" s="71">
        <f t="shared" si="55"/>
        <v>641.01588562351071</v>
      </c>
      <c r="AF235" s="193">
        <f t="shared" si="56"/>
        <v>606.44249767691906</v>
      </c>
      <c r="AG235" s="185">
        <f t="shared" si="57"/>
        <v>9.4912266258967426E-3</v>
      </c>
      <c r="AH235" s="180">
        <f t="shared" si="61"/>
        <v>4.685277213352685E-2</v>
      </c>
      <c r="AI235" s="189">
        <v>1259</v>
      </c>
      <c r="AJ235" s="125">
        <v>1330.7757999999999</v>
      </c>
      <c r="AK235" s="149">
        <v>506</v>
      </c>
      <c r="AL235" s="221">
        <v>266</v>
      </c>
      <c r="AM235" s="216">
        <v>45.983935742971887</v>
      </c>
      <c r="AN235" s="213">
        <v>11.746987951807229</v>
      </c>
      <c r="AO235" s="127">
        <v>17.006</v>
      </c>
      <c r="AP235" s="133">
        <v>3.4449999999999998</v>
      </c>
      <c r="AQ235" s="224">
        <f t="shared" si="58"/>
        <v>0.9129804205946338</v>
      </c>
      <c r="AR235" s="158">
        <v>1379</v>
      </c>
      <c r="AS235" s="229">
        <f t="shared" si="59"/>
        <v>0.61027629665535632</v>
      </c>
      <c r="AT235" s="230">
        <v>2063</v>
      </c>
      <c r="AU235" s="203">
        <v>12.787926926131851</v>
      </c>
      <c r="AV235" s="204">
        <v>62.668784749801432</v>
      </c>
      <c r="AW235" s="205">
        <v>24.543288324066719</v>
      </c>
      <c r="AX235" s="123">
        <v>7.1692999999999998</v>
      </c>
      <c r="AY235" s="281">
        <v>2.6004728132387704</v>
      </c>
      <c r="AZ235" s="282">
        <v>47.281323877068559</v>
      </c>
      <c r="BA235" s="283">
        <f t="shared" si="60"/>
        <v>50.118203309692674</v>
      </c>
      <c r="BB235" s="234">
        <v>85.029940119760482</v>
      </c>
      <c r="BC235" s="20">
        <v>2011</v>
      </c>
      <c r="BD235" s="263" t="s">
        <v>556</v>
      </c>
      <c r="BE235" s="261" t="s">
        <v>556</v>
      </c>
      <c r="BF235" s="259" t="s">
        <v>556</v>
      </c>
      <c r="BG235" s="256">
        <v>54.800724637681164</v>
      </c>
      <c r="BH235" s="248" t="s">
        <v>556</v>
      </c>
      <c r="BI235" s="249">
        <v>41.748526522593323</v>
      </c>
      <c r="BJ235" s="308" t="s">
        <v>556</v>
      </c>
      <c r="BK235" s="307" t="s">
        <v>556</v>
      </c>
      <c r="BL235" s="319" t="s">
        <v>1728</v>
      </c>
      <c r="BM235" s="320" t="s">
        <v>557</v>
      </c>
      <c r="BN235" s="321" t="s">
        <v>1828</v>
      </c>
      <c r="BO235" s="145" t="s">
        <v>556</v>
      </c>
      <c r="BP235" s="14" t="s">
        <v>556</v>
      </c>
      <c r="BQ235" s="14" t="s">
        <v>556</v>
      </c>
      <c r="BR235" s="72"/>
    </row>
    <row r="236" spans="1:70" s="56" customFormat="1" ht="13.95" customHeight="1" x14ac:dyDescent="0.3">
      <c r="A236" s="56" t="s">
        <v>459</v>
      </c>
      <c r="B236" s="57" t="s">
        <v>462</v>
      </c>
      <c r="C236" s="55" t="s">
        <v>64</v>
      </c>
      <c r="D236" s="58">
        <v>1</v>
      </c>
      <c r="E236" s="59"/>
      <c r="F236" s="60" t="s">
        <v>452</v>
      </c>
      <c r="G236" s="61" t="s">
        <v>7</v>
      </c>
      <c r="H236" s="61" t="s">
        <v>7</v>
      </c>
      <c r="I236" s="62" t="s">
        <v>7</v>
      </c>
      <c r="J236" s="63" t="s">
        <v>2110</v>
      </c>
      <c r="K236" s="99" t="s">
        <v>903</v>
      </c>
      <c r="L236" s="130">
        <v>495496115</v>
      </c>
      <c r="M236" s="109" t="s">
        <v>564</v>
      </c>
      <c r="N236" s="12" t="s">
        <v>902</v>
      </c>
      <c r="O236" s="100"/>
      <c r="P236" s="131">
        <v>724183735</v>
      </c>
      <c r="Q236" s="67"/>
      <c r="R236" s="68"/>
      <c r="S236" s="99"/>
      <c r="T236" s="65"/>
      <c r="U236" s="170">
        <v>377300</v>
      </c>
      <c r="V236" s="48">
        <f t="shared" si="48"/>
        <v>2084.5303867403313</v>
      </c>
      <c r="W236" s="171">
        <f t="shared" si="49"/>
        <v>659.76671572220766</v>
      </c>
      <c r="X236" s="69">
        <v>100000</v>
      </c>
      <c r="Y236" s="48">
        <f t="shared" si="50"/>
        <v>552.4861878453039</v>
      </c>
      <c r="Z236" s="137">
        <f t="shared" si="51"/>
        <v>174.86528378537176</v>
      </c>
      <c r="AA236" s="69">
        <v>0</v>
      </c>
      <c r="AB236" s="48">
        <f t="shared" si="52"/>
        <v>0</v>
      </c>
      <c r="AC236" s="137">
        <f t="shared" si="53"/>
        <v>0</v>
      </c>
      <c r="AD236" s="70">
        <f t="shared" si="54"/>
        <v>477300</v>
      </c>
      <c r="AE236" s="71">
        <f t="shared" si="55"/>
        <v>2637.0165745856352</v>
      </c>
      <c r="AF236" s="193">
        <f t="shared" si="56"/>
        <v>834.63199950757939</v>
      </c>
      <c r="AG236" s="185">
        <f t="shared" si="57"/>
        <v>4.2845601436265708E-2</v>
      </c>
      <c r="AH236" s="180">
        <f t="shared" si="61"/>
        <v>0.1133729216152019</v>
      </c>
      <c r="AI236" s="189">
        <v>181</v>
      </c>
      <c r="AJ236" s="125">
        <v>571.86879999999996</v>
      </c>
      <c r="AK236" s="149">
        <v>118</v>
      </c>
      <c r="AL236" s="221">
        <v>59</v>
      </c>
      <c r="AM236" s="216">
        <v>91.17647058823529</v>
      </c>
      <c r="AN236" s="213">
        <v>32.142857142857146</v>
      </c>
      <c r="AO236" s="127">
        <v>2.2280000000000002</v>
      </c>
      <c r="AP236" s="133">
        <v>0.84199999999999997</v>
      </c>
      <c r="AQ236" s="224">
        <f t="shared" si="58"/>
        <v>1.0055555555555555</v>
      </c>
      <c r="AR236" s="158">
        <v>180</v>
      </c>
      <c r="AS236" s="229">
        <f t="shared" si="59"/>
        <v>0.30677966101694915</v>
      </c>
      <c r="AT236" s="230">
        <v>590</v>
      </c>
      <c r="AU236" s="203">
        <v>13.259668508287293</v>
      </c>
      <c r="AV236" s="204">
        <v>62.430939226519342</v>
      </c>
      <c r="AW236" s="205">
        <v>24.30939226519337</v>
      </c>
      <c r="AX236" s="123">
        <v>4.1666999999999996</v>
      </c>
      <c r="AY236" s="281">
        <v>12.195121951219512</v>
      </c>
      <c r="AZ236" s="282">
        <v>39.024390243902438</v>
      </c>
      <c r="BA236" s="283">
        <f t="shared" si="60"/>
        <v>48.780487804878057</v>
      </c>
      <c r="BB236" s="234">
        <v>80.645161290322577</v>
      </c>
      <c r="BC236" s="20">
        <v>2008</v>
      </c>
      <c r="BD236" s="263" t="s">
        <v>556</v>
      </c>
      <c r="BE236" s="261" t="s">
        <v>556</v>
      </c>
      <c r="BF236" s="260" t="s">
        <v>557</v>
      </c>
      <c r="BG236" s="256">
        <v>13.661202185792352</v>
      </c>
      <c r="BH236" s="248" t="s">
        <v>556</v>
      </c>
      <c r="BI236" s="249">
        <v>52.662721893491124</v>
      </c>
      <c r="BJ236" s="309" t="s">
        <v>557</v>
      </c>
      <c r="BK236" s="307" t="s">
        <v>557</v>
      </c>
      <c r="BL236" s="319" t="s">
        <v>1728</v>
      </c>
      <c r="BM236" s="320" t="s">
        <v>557</v>
      </c>
      <c r="BN236" s="321" t="s">
        <v>1767</v>
      </c>
      <c r="BO236" s="145" t="s">
        <v>557</v>
      </c>
      <c r="BP236" s="14" t="s">
        <v>556</v>
      </c>
      <c r="BQ236" s="14" t="s">
        <v>557</v>
      </c>
    </row>
    <row r="237" spans="1:70" s="72" customFormat="1" ht="13.95" customHeight="1" x14ac:dyDescent="0.3">
      <c r="A237" s="56" t="s">
        <v>459</v>
      </c>
      <c r="B237" s="57" t="s">
        <v>462</v>
      </c>
      <c r="C237" s="55" t="s">
        <v>65</v>
      </c>
      <c r="D237" s="58">
        <v>3</v>
      </c>
      <c r="E237" s="59" t="s">
        <v>1684</v>
      </c>
      <c r="F237" s="60" t="s">
        <v>452</v>
      </c>
      <c r="G237" s="61" t="s">
        <v>11</v>
      </c>
      <c r="H237" s="61" t="s">
        <v>16</v>
      </c>
      <c r="I237" s="62" t="s">
        <v>16</v>
      </c>
      <c r="J237" s="63" t="s">
        <v>2111</v>
      </c>
      <c r="K237" s="99" t="s">
        <v>904</v>
      </c>
      <c r="L237" s="130">
        <v>498773919</v>
      </c>
      <c r="M237" s="109" t="s">
        <v>564</v>
      </c>
      <c r="N237" s="12" t="s">
        <v>905</v>
      </c>
      <c r="O237" s="100"/>
      <c r="P237" s="131"/>
      <c r="Q237" s="67"/>
      <c r="R237" s="68"/>
      <c r="S237" s="99"/>
      <c r="T237" s="65"/>
      <c r="U237" s="170">
        <v>21102</v>
      </c>
      <c r="V237" s="48">
        <f t="shared" si="48"/>
        <v>50.848192771084335</v>
      </c>
      <c r="W237" s="171">
        <f t="shared" si="49"/>
        <v>26.79104659524419</v>
      </c>
      <c r="X237" s="69">
        <v>351869</v>
      </c>
      <c r="Y237" s="48">
        <f t="shared" si="50"/>
        <v>847.87710843373497</v>
      </c>
      <c r="Z237" s="137">
        <f t="shared" si="51"/>
        <v>446.73200523277308</v>
      </c>
      <c r="AA237" s="69">
        <v>1000000</v>
      </c>
      <c r="AB237" s="48">
        <f t="shared" si="52"/>
        <v>2409.6385542168673</v>
      </c>
      <c r="AC237" s="137">
        <f t="shared" si="53"/>
        <v>1269.5975071199027</v>
      </c>
      <c r="AD237" s="70">
        <f t="shared" si="54"/>
        <v>1372971</v>
      </c>
      <c r="AE237" s="71">
        <f t="shared" si="55"/>
        <v>3308.3638554216868</v>
      </c>
      <c r="AF237" s="193">
        <f t="shared" si="56"/>
        <v>1743.12055894792</v>
      </c>
      <c r="AG237" s="185">
        <f t="shared" si="57"/>
        <v>3.7212928581108549E-2</v>
      </c>
      <c r="AH237" s="180">
        <f t="shared" si="61"/>
        <v>0.13355749027237354</v>
      </c>
      <c r="AI237" s="189">
        <v>415</v>
      </c>
      <c r="AJ237" s="125">
        <v>787.65120000000002</v>
      </c>
      <c r="AK237" s="149">
        <v>179</v>
      </c>
      <c r="AL237" s="221">
        <v>115</v>
      </c>
      <c r="AM237" s="216">
        <v>88.157894736842096</v>
      </c>
      <c r="AN237" s="213">
        <v>16.915422885572141</v>
      </c>
      <c r="AO237" s="127">
        <v>7.3789999999999996</v>
      </c>
      <c r="AP237" s="133">
        <v>2.056</v>
      </c>
      <c r="AQ237" s="224">
        <f t="shared" si="58"/>
        <v>1.1592178770949721</v>
      </c>
      <c r="AR237" s="158">
        <v>358</v>
      </c>
      <c r="AS237" s="229">
        <f t="shared" si="59"/>
        <v>0.52731893265565444</v>
      </c>
      <c r="AT237" s="230">
        <v>787</v>
      </c>
      <c r="AU237" s="203">
        <v>14.216867469879519</v>
      </c>
      <c r="AV237" s="204">
        <v>70.602409638554221</v>
      </c>
      <c r="AW237" s="205">
        <v>15.180722891566264</v>
      </c>
      <c r="AX237" s="123">
        <v>3.4129999999999998</v>
      </c>
      <c r="AY237" s="281">
        <v>10.227272727272728</v>
      </c>
      <c r="AZ237" s="282">
        <v>32.954545454545453</v>
      </c>
      <c r="BA237" s="283">
        <f t="shared" si="60"/>
        <v>56.818181818181813</v>
      </c>
      <c r="BB237" s="234">
        <v>61.224489795918366</v>
      </c>
      <c r="BC237" s="20">
        <v>2011</v>
      </c>
      <c r="BD237" s="263" t="s">
        <v>556</v>
      </c>
      <c r="BE237" s="261" t="s">
        <v>556</v>
      </c>
      <c r="BF237" s="259" t="s">
        <v>556</v>
      </c>
      <c r="BG237" s="256">
        <v>21.153846153846153</v>
      </c>
      <c r="BH237" s="248" t="s">
        <v>556</v>
      </c>
      <c r="BI237" s="249">
        <v>80.740740740740748</v>
      </c>
      <c r="BJ237" s="308" t="s">
        <v>556</v>
      </c>
      <c r="BK237" s="307" t="s">
        <v>750</v>
      </c>
      <c r="BL237" s="319" t="s">
        <v>1728</v>
      </c>
      <c r="BM237" s="320" t="s">
        <v>556</v>
      </c>
      <c r="BN237" s="321" t="s">
        <v>1731</v>
      </c>
      <c r="BO237" s="145" t="s">
        <v>557</v>
      </c>
      <c r="BP237" s="14" t="s">
        <v>557</v>
      </c>
      <c r="BQ237" s="14" t="s">
        <v>557</v>
      </c>
      <c r="BR237" s="56"/>
    </row>
    <row r="238" spans="1:70" s="56" customFormat="1" ht="13.95" customHeight="1" x14ac:dyDescent="0.3">
      <c r="A238" s="56" t="s">
        <v>459</v>
      </c>
      <c r="B238" s="57" t="s">
        <v>462</v>
      </c>
      <c r="C238" s="55" t="s">
        <v>265</v>
      </c>
      <c r="D238" s="58">
        <v>5</v>
      </c>
      <c r="E238" s="59" t="s">
        <v>655</v>
      </c>
      <c r="F238" s="60" t="s">
        <v>454</v>
      </c>
      <c r="G238" s="61" t="s">
        <v>526</v>
      </c>
      <c r="H238" s="61" t="s">
        <v>526</v>
      </c>
      <c r="I238" s="62" t="s">
        <v>526</v>
      </c>
      <c r="J238" s="63" t="s">
        <v>2112</v>
      </c>
      <c r="K238" s="99" t="s">
        <v>1321</v>
      </c>
      <c r="L238" s="130">
        <v>491474102</v>
      </c>
      <c r="M238" s="109" t="s">
        <v>564</v>
      </c>
      <c r="N238" s="12" t="s">
        <v>1323</v>
      </c>
      <c r="O238" s="100" t="s">
        <v>1322</v>
      </c>
      <c r="P238" s="131">
        <v>608000222</v>
      </c>
      <c r="Q238" s="67"/>
      <c r="R238" s="68"/>
      <c r="S238" s="99"/>
      <c r="T238" s="65"/>
      <c r="U238" s="170">
        <v>95000</v>
      </c>
      <c r="V238" s="48">
        <f t="shared" si="48"/>
        <v>164.93055555555554</v>
      </c>
      <c r="W238" s="171">
        <f t="shared" si="49"/>
        <v>67.107504102387693</v>
      </c>
      <c r="X238" s="69">
        <v>77400</v>
      </c>
      <c r="Y238" s="48">
        <f t="shared" si="50"/>
        <v>134.375</v>
      </c>
      <c r="Z238" s="137">
        <f t="shared" si="51"/>
        <v>54.674955973945337</v>
      </c>
      <c r="AA238" s="69">
        <v>0</v>
      </c>
      <c r="AB238" s="48">
        <f t="shared" si="52"/>
        <v>0</v>
      </c>
      <c r="AC238" s="137">
        <f t="shared" si="53"/>
        <v>0</v>
      </c>
      <c r="AD238" s="70">
        <f t="shared" si="54"/>
        <v>172400</v>
      </c>
      <c r="AE238" s="71">
        <f t="shared" si="55"/>
        <v>299.30555555555554</v>
      </c>
      <c r="AF238" s="193">
        <f t="shared" si="56"/>
        <v>121.78246007633302</v>
      </c>
      <c r="AG238" s="185">
        <f t="shared" si="57"/>
        <v>4.0238067452444855E-3</v>
      </c>
      <c r="AH238" s="180">
        <f t="shared" si="61"/>
        <v>7.1283853628281999E-3</v>
      </c>
      <c r="AI238" s="189">
        <v>576</v>
      </c>
      <c r="AJ238" s="125">
        <v>1415.6389999999999</v>
      </c>
      <c r="AK238" s="149">
        <v>278</v>
      </c>
      <c r="AL238" s="221">
        <v>156</v>
      </c>
      <c r="AM238" s="216">
        <v>88.541666666666657</v>
      </c>
      <c r="AN238" s="213">
        <v>17.977528089887642</v>
      </c>
      <c r="AO238" s="127">
        <v>8.5690000000000008</v>
      </c>
      <c r="AP238" s="133">
        <v>4.8369999999999997</v>
      </c>
      <c r="AQ238" s="224">
        <f t="shared" si="58"/>
        <v>1.1519999999999999</v>
      </c>
      <c r="AR238" s="158">
        <v>500</v>
      </c>
      <c r="AS238" s="229">
        <f t="shared" si="59"/>
        <v>0.62135922330097082</v>
      </c>
      <c r="AT238" s="230">
        <v>927</v>
      </c>
      <c r="AU238" s="203">
        <v>20.659722222222221</v>
      </c>
      <c r="AV238" s="204">
        <v>63.020833333333329</v>
      </c>
      <c r="AW238" s="205">
        <v>16.319444444444446</v>
      </c>
      <c r="AX238" s="123">
        <v>3.7572000000000001</v>
      </c>
      <c r="AY238" s="281">
        <v>13.559322033898304</v>
      </c>
      <c r="AZ238" s="282">
        <v>38.135593220338983</v>
      </c>
      <c r="BA238" s="283">
        <f t="shared" si="60"/>
        <v>48.30508474576272</v>
      </c>
      <c r="BB238" s="234">
        <v>62.698412698412696</v>
      </c>
      <c r="BC238" s="20">
        <v>2000</v>
      </c>
      <c r="BD238" s="263" t="s">
        <v>556</v>
      </c>
      <c r="BE238" s="261" t="s">
        <v>556</v>
      </c>
      <c r="BF238" s="260" t="s">
        <v>557</v>
      </c>
      <c r="BG238" s="256">
        <v>39.884393063583815</v>
      </c>
      <c r="BH238" s="254" t="s">
        <v>557</v>
      </c>
      <c r="BI238" s="249">
        <v>0</v>
      </c>
      <c r="BJ238" s="308" t="s">
        <v>556</v>
      </c>
      <c r="BK238" s="307" t="s">
        <v>750</v>
      </c>
      <c r="BL238" s="319" t="s">
        <v>1728</v>
      </c>
      <c r="BM238" s="320" t="s">
        <v>556</v>
      </c>
      <c r="BN238" s="321" t="s">
        <v>1791</v>
      </c>
      <c r="BO238" s="145" t="s">
        <v>998</v>
      </c>
      <c r="BP238" s="14">
        <v>2</v>
      </c>
      <c r="BQ238" s="14" t="s">
        <v>557</v>
      </c>
    </row>
    <row r="239" spans="1:70" s="56" customFormat="1" ht="13.95" customHeight="1" x14ac:dyDescent="0.3">
      <c r="A239" s="56" t="s">
        <v>460</v>
      </c>
      <c r="B239" s="77" t="s">
        <v>464</v>
      </c>
      <c r="C239" s="74" t="s">
        <v>226</v>
      </c>
      <c r="D239" s="58">
        <v>10</v>
      </c>
      <c r="E239" s="59" t="s">
        <v>758</v>
      </c>
      <c r="F239" s="60" t="s">
        <v>454</v>
      </c>
      <c r="G239" s="75" t="s">
        <v>226</v>
      </c>
      <c r="H239" s="75" t="s">
        <v>226</v>
      </c>
      <c r="I239" s="76" t="s">
        <v>226</v>
      </c>
      <c r="J239" s="63" t="s">
        <v>2113</v>
      </c>
      <c r="K239" s="99" t="s">
        <v>2114</v>
      </c>
      <c r="L239" s="130">
        <v>491405111</v>
      </c>
      <c r="M239" s="109" t="s">
        <v>564</v>
      </c>
      <c r="N239" s="12" t="s">
        <v>1324</v>
      </c>
      <c r="O239" s="100" t="s">
        <v>1325</v>
      </c>
      <c r="P239" s="131" t="s">
        <v>2115</v>
      </c>
      <c r="Q239" s="67"/>
      <c r="R239" s="68"/>
      <c r="S239" s="99"/>
      <c r="T239" s="65"/>
      <c r="U239" s="172">
        <v>0</v>
      </c>
      <c r="V239" s="135">
        <f t="shared" si="48"/>
        <v>0</v>
      </c>
      <c r="W239" s="173">
        <f t="shared" si="49"/>
        <v>0</v>
      </c>
      <c r="X239" s="69">
        <f>2002817+29000+13000</f>
        <v>2044817</v>
      </c>
      <c r="Y239" s="48">
        <f t="shared" si="50"/>
        <v>100.89391621848326</v>
      </c>
      <c r="Z239" s="137">
        <f t="shared" si="51"/>
        <v>613.26631447134218</v>
      </c>
      <c r="AA239" s="69">
        <v>1200000</v>
      </c>
      <c r="AB239" s="48">
        <f t="shared" si="52"/>
        <v>59.20955247446588</v>
      </c>
      <c r="AC239" s="137">
        <f t="shared" si="53"/>
        <v>359.89507978738959</v>
      </c>
      <c r="AD239" s="70">
        <f t="shared" si="54"/>
        <v>3244817</v>
      </c>
      <c r="AE239" s="71">
        <f t="shared" si="55"/>
        <v>160.10346869294912</v>
      </c>
      <c r="AF239" s="193">
        <f t="shared" si="56"/>
        <v>973.16139425873178</v>
      </c>
      <c r="AG239" s="185">
        <f t="shared" si="57"/>
        <v>2.0600508534297495E-3</v>
      </c>
      <c r="AH239" s="180">
        <f t="shared" si="61"/>
        <v>7.7571527611761887E-3</v>
      </c>
      <c r="AI239" s="189">
        <v>20267</v>
      </c>
      <c r="AJ239" s="126">
        <v>3334.3051</v>
      </c>
      <c r="AK239" s="150">
        <v>4746</v>
      </c>
      <c r="AL239" s="221">
        <v>2871</v>
      </c>
      <c r="AM239" s="216">
        <v>32.005639760310189</v>
      </c>
      <c r="AN239" s="213">
        <v>0.55701523909616402</v>
      </c>
      <c r="AO239" s="128">
        <v>315.02300000000002</v>
      </c>
      <c r="AP239" s="134">
        <v>83.66</v>
      </c>
      <c r="AQ239" s="224">
        <f t="shared" si="58"/>
        <v>0.97851487060641174</v>
      </c>
      <c r="AR239" s="158">
        <v>20712</v>
      </c>
      <c r="AS239" s="229">
        <f t="shared" si="59"/>
        <v>1.086760684218993</v>
      </c>
      <c r="AT239" s="230">
        <v>18649</v>
      </c>
      <c r="AU239" s="203">
        <v>14.960280258548378</v>
      </c>
      <c r="AV239" s="204">
        <v>64.582819361523661</v>
      </c>
      <c r="AW239" s="205">
        <v>20.456900379927962</v>
      </c>
      <c r="AX239" s="123">
        <v>4.5904999999999996</v>
      </c>
      <c r="AY239" s="281">
        <v>0.96788886358460491</v>
      </c>
      <c r="AZ239" s="282">
        <v>36.973354588931905</v>
      </c>
      <c r="BA239" s="283">
        <f t="shared" si="60"/>
        <v>62.05875654748349</v>
      </c>
      <c r="BB239" s="234">
        <v>34.640843343956853</v>
      </c>
      <c r="BC239" s="20">
        <v>2016</v>
      </c>
      <c r="BD239" s="263" t="s">
        <v>556</v>
      </c>
      <c r="BE239" s="261" t="s">
        <v>556</v>
      </c>
      <c r="BF239" s="259" t="s">
        <v>556</v>
      </c>
      <c r="BG239" s="256">
        <v>92.004074357015526</v>
      </c>
      <c r="BH239" s="248" t="s">
        <v>556</v>
      </c>
      <c r="BI239" s="249">
        <v>47.834558004898689</v>
      </c>
      <c r="BJ239" s="311" t="s">
        <v>2117</v>
      </c>
      <c r="BK239" s="307" t="s">
        <v>556</v>
      </c>
      <c r="BL239" s="319" t="s">
        <v>1777</v>
      </c>
      <c r="BM239" s="320" t="s">
        <v>556</v>
      </c>
      <c r="BN239" s="321" t="s">
        <v>2116</v>
      </c>
      <c r="BO239" s="145" t="s">
        <v>556</v>
      </c>
      <c r="BP239" s="14">
        <v>2</v>
      </c>
      <c r="BQ239" s="14" t="s">
        <v>556</v>
      </c>
    </row>
    <row r="240" spans="1:70" s="56" customFormat="1" ht="13.95" customHeight="1" x14ac:dyDescent="0.3">
      <c r="A240" s="56" t="s">
        <v>459</v>
      </c>
      <c r="B240" s="57" t="s">
        <v>462</v>
      </c>
      <c r="C240" s="55" t="s">
        <v>66</v>
      </c>
      <c r="D240" s="58">
        <v>1</v>
      </c>
      <c r="E240" s="97" t="s">
        <v>511</v>
      </c>
      <c r="F240" s="60" t="s">
        <v>452</v>
      </c>
      <c r="G240" s="61" t="s">
        <v>11</v>
      </c>
      <c r="H240" s="61" t="s">
        <v>11</v>
      </c>
      <c r="I240" s="62" t="s">
        <v>11</v>
      </c>
      <c r="J240" s="63" t="s">
        <v>2118</v>
      </c>
      <c r="K240" s="99" t="s">
        <v>907</v>
      </c>
      <c r="L240" s="130">
        <v>495426175</v>
      </c>
      <c r="M240" s="109" t="s">
        <v>564</v>
      </c>
      <c r="N240" s="12" t="s">
        <v>906</v>
      </c>
      <c r="O240" s="100"/>
      <c r="P240" s="131">
        <v>602583250</v>
      </c>
      <c r="Q240" s="67"/>
      <c r="R240" s="68"/>
      <c r="S240" s="99"/>
      <c r="T240" s="65"/>
      <c r="U240" s="170">
        <v>575000</v>
      </c>
      <c r="V240" s="48">
        <f t="shared" si="48"/>
        <v>1657.0605187319884</v>
      </c>
      <c r="W240" s="171">
        <f t="shared" si="49"/>
        <v>983.81428734460667</v>
      </c>
      <c r="X240" s="69">
        <v>70000</v>
      </c>
      <c r="Y240" s="48">
        <f t="shared" si="50"/>
        <v>201.72910662824208</v>
      </c>
      <c r="Z240" s="137">
        <f t="shared" si="51"/>
        <v>119.76869585064776</v>
      </c>
      <c r="AA240" s="69">
        <v>0</v>
      </c>
      <c r="AB240" s="48">
        <f t="shared" si="52"/>
        <v>0</v>
      </c>
      <c r="AC240" s="137">
        <f t="shared" si="53"/>
        <v>0</v>
      </c>
      <c r="AD240" s="70">
        <f t="shared" si="54"/>
        <v>645000</v>
      </c>
      <c r="AE240" s="71">
        <f t="shared" si="55"/>
        <v>1858.7896253602305</v>
      </c>
      <c r="AF240" s="193">
        <f t="shared" si="56"/>
        <v>1103.5829831952544</v>
      </c>
      <c r="AG240" s="185">
        <f t="shared" si="57"/>
        <v>2.9034436191762329E-2</v>
      </c>
      <c r="AH240" s="180">
        <f t="shared" si="61"/>
        <v>4.7777777777777777</v>
      </c>
      <c r="AI240" s="189">
        <v>347</v>
      </c>
      <c r="AJ240" s="125">
        <v>584.45989999999995</v>
      </c>
      <c r="AK240" s="149">
        <v>112</v>
      </c>
      <c r="AL240" s="221">
        <v>87</v>
      </c>
      <c r="AM240" s="216">
        <v>82.399999999999991</v>
      </c>
      <c r="AN240" s="213">
        <v>0</v>
      </c>
      <c r="AO240" s="127">
        <v>4.4429999999999996</v>
      </c>
      <c r="AP240" s="133">
        <v>2.7E-2</v>
      </c>
      <c r="AQ240" s="224">
        <f t="shared" si="58"/>
        <v>0.99426934097421205</v>
      </c>
      <c r="AR240" s="158">
        <v>349</v>
      </c>
      <c r="AS240" s="229">
        <f t="shared" si="59"/>
        <v>0.62635379061371843</v>
      </c>
      <c r="AT240" s="230">
        <v>554</v>
      </c>
      <c r="AU240" s="203">
        <v>16.714697406340058</v>
      </c>
      <c r="AV240" s="204">
        <v>67.723342939481256</v>
      </c>
      <c r="AW240" s="205">
        <v>15.561959654178676</v>
      </c>
      <c r="AX240" s="123">
        <v>5.8823999999999996</v>
      </c>
      <c r="AY240" s="281">
        <v>3.1847133757961785</v>
      </c>
      <c r="AZ240" s="282">
        <v>35.668789808917197</v>
      </c>
      <c r="BA240" s="283">
        <f t="shared" si="60"/>
        <v>61.146496815286625</v>
      </c>
      <c r="BB240" s="234">
        <v>94.805194805194802</v>
      </c>
      <c r="BC240" s="20">
        <v>2017</v>
      </c>
      <c r="BD240" s="263" t="s">
        <v>556</v>
      </c>
      <c r="BE240" s="261" t="s">
        <v>556</v>
      </c>
      <c r="BF240" s="260" t="s">
        <v>557</v>
      </c>
      <c r="BG240" s="256">
        <v>5.2941176470588234</v>
      </c>
      <c r="BH240" s="248" t="s">
        <v>556</v>
      </c>
      <c r="BI240" s="249">
        <v>81.424148606811144</v>
      </c>
      <c r="BJ240" s="308" t="s">
        <v>556</v>
      </c>
      <c r="BK240" s="307" t="s">
        <v>557</v>
      </c>
      <c r="BL240" s="319" t="s">
        <v>1728</v>
      </c>
      <c r="BM240" s="320" t="s">
        <v>557</v>
      </c>
      <c r="BN240" s="321" t="s">
        <v>2119</v>
      </c>
      <c r="BO240" s="145" t="s">
        <v>557</v>
      </c>
      <c r="BP240" s="14" t="s">
        <v>556</v>
      </c>
      <c r="BQ240" s="14" t="s">
        <v>557</v>
      </c>
    </row>
    <row r="241" spans="1:70" s="72" customFormat="1" ht="13.95" customHeight="1" x14ac:dyDescent="0.3">
      <c r="A241" s="56" t="s">
        <v>461</v>
      </c>
      <c r="B241" s="77" t="s">
        <v>464</v>
      </c>
      <c r="C241" s="74" t="s">
        <v>16</v>
      </c>
      <c r="D241" s="58">
        <v>8</v>
      </c>
      <c r="E241" s="59" t="s">
        <v>482</v>
      </c>
      <c r="F241" s="60" t="s">
        <v>452</v>
      </c>
      <c r="G241" s="75" t="s">
        <v>11</v>
      </c>
      <c r="H241" s="75" t="s">
        <v>16</v>
      </c>
      <c r="I241" s="76" t="s">
        <v>16</v>
      </c>
      <c r="J241" s="63" t="s">
        <v>2120</v>
      </c>
      <c r="K241" s="99"/>
      <c r="L241" s="130">
        <v>499773812</v>
      </c>
      <c r="M241" s="109" t="s">
        <v>564</v>
      </c>
      <c r="N241" s="12" t="s">
        <v>908</v>
      </c>
      <c r="O241" s="100" t="s">
        <v>909</v>
      </c>
      <c r="P241" s="131"/>
      <c r="Q241" s="67"/>
      <c r="R241" s="68"/>
      <c r="S241" s="99"/>
      <c r="T241" s="65"/>
      <c r="U241" s="172">
        <v>0</v>
      </c>
      <c r="V241" s="135">
        <f t="shared" si="48"/>
        <v>0</v>
      </c>
      <c r="W241" s="173">
        <f t="shared" si="49"/>
        <v>0</v>
      </c>
      <c r="X241" s="69">
        <f>1137241+156000</f>
        <v>1293241</v>
      </c>
      <c r="Y241" s="48">
        <f t="shared" si="50"/>
        <v>561.30251736111109</v>
      </c>
      <c r="Z241" s="137">
        <f t="shared" si="51"/>
        <v>462.11309126812256</v>
      </c>
      <c r="AA241" s="69">
        <v>0</v>
      </c>
      <c r="AB241" s="48">
        <f t="shared" si="52"/>
        <v>0</v>
      </c>
      <c r="AC241" s="137">
        <f t="shared" si="53"/>
        <v>0</v>
      </c>
      <c r="AD241" s="70">
        <f t="shared" si="54"/>
        <v>1293241</v>
      </c>
      <c r="AE241" s="71">
        <f t="shared" si="55"/>
        <v>561.30251736111109</v>
      </c>
      <c r="AF241" s="193">
        <f t="shared" si="56"/>
        <v>462.11309126812256</v>
      </c>
      <c r="AG241" s="185">
        <f t="shared" si="57"/>
        <v>6.8142424322259398E-3</v>
      </c>
      <c r="AH241" s="180">
        <f t="shared" si="61"/>
        <v>2.0401340905505598E-2</v>
      </c>
      <c r="AI241" s="189">
        <v>2304</v>
      </c>
      <c r="AJ241" s="126">
        <v>2798.5378999999998</v>
      </c>
      <c r="AK241" s="150">
        <v>872</v>
      </c>
      <c r="AL241" s="221">
        <v>634</v>
      </c>
      <c r="AM241" s="216">
        <v>86.172839506172835</v>
      </c>
      <c r="AN241" s="213">
        <v>9.3476144109055497</v>
      </c>
      <c r="AO241" s="128">
        <v>37.957000000000001</v>
      </c>
      <c r="AP241" s="134">
        <v>12.678000000000001</v>
      </c>
      <c r="AQ241" s="224">
        <f t="shared" si="58"/>
        <v>1.0878186968838528</v>
      </c>
      <c r="AR241" s="158">
        <v>2118</v>
      </c>
      <c r="AS241" s="229">
        <f t="shared" si="59"/>
        <v>0.70351145038167939</v>
      </c>
      <c r="AT241" s="230">
        <v>3275</v>
      </c>
      <c r="AU241" s="203">
        <v>16.102430555555554</v>
      </c>
      <c r="AV241" s="204">
        <v>66.753472222222229</v>
      </c>
      <c r="AW241" s="205">
        <v>17.144097222222221</v>
      </c>
      <c r="AX241" s="123">
        <v>4.8765000000000001</v>
      </c>
      <c r="AY241" s="281">
        <v>5.7115198451113267</v>
      </c>
      <c r="AZ241" s="282">
        <v>27.783155856727976</v>
      </c>
      <c r="BA241" s="283">
        <f t="shared" si="60"/>
        <v>66.505324298160701</v>
      </c>
      <c r="BB241" s="234">
        <v>72.707889125799568</v>
      </c>
      <c r="BC241" s="20">
        <v>2010</v>
      </c>
      <c r="BD241" s="263" t="s">
        <v>556</v>
      </c>
      <c r="BE241" s="261" t="s">
        <v>556</v>
      </c>
      <c r="BF241" s="259" t="s">
        <v>556</v>
      </c>
      <c r="BG241" s="256">
        <v>60.517946388005448</v>
      </c>
      <c r="BH241" s="248" t="s">
        <v>556</v>
      </c>
      <c r="BI241" s="249">
        <v>55.746304244158317</v>
      </c>
      <c r="BJ241" s="308" t="s">
        <v>556</v>
      </c>
      <c r="BK241" s="307" t="s">
        <v>556</v>
      </c>
      <c r="BL241" s="319" t="s">
        <v>1728</v>
      </c>
      <c r="BM241" s="320" t="s">
        <v>556</v>
      </c>
      <c r="BN241" s="321" t="s">
        <v>2122</v>
      </c>
      <c r="BO241" s="145" t="s">
        <v>556</v>
      </c>
      <c r="BP241" s="14">
        <v>3</v>
      </c>
      <c r="BQ241" s="14" t="s">
        <v>557</v>
      </c>
      <c r="BR241" s="56"/>
    </row>
    <row r="242" spans="1:70" s="56" customFormat="1" ht="13.95" customHeight="1" x14ac:dyDescent="0.3">
      <c r="A242" s="56" t="s">
        <v>459</v>
      </c>
      <c r="B242" s="57" t="s">
        <v>462</v>
      </c>
      <c r="C242" s="55" t="s">
        <v>430</v>
      </c>
      <c r="D242" s="58">
        <v>4</v>
      </c>
      <c r="E242" s="59" t="s">
        <v>736</v>
      </c>
      <c r="F242" s="60" t="s">
        <v>456</v>
      </c>
      <c r="G242" s="61" t="s">
        <v>531</v>
      </c>
      <c r="H242" s="61" t="s">
        <v>531</v>
      </c>
      <c r="I242" s="62" t="s">
        <v>531</v>
      </c>
      <c r="J242" s="63" t="s">
        <v>2124</v>
      </c>
      <c r="K242" s="99" t="s">
        <v>2123</v>
      </c>
      <c r="L242" s="130">
        <v>499397534</v>
      </c>
      <c r="M242" s="109" t="s">
        <v>564</v>
      </c>
      <c r="N242" s="12" t="s">
        <v>1624</v>
      </c>
      <c r="O242" s="100" t="s">
        <v>1625</v>
      </c>
      <c r="P242" s="131">
        <v>737444247</v>
      </c>
      <c r="Q242" s="82"/>
      <c r="R242" s="72"/>
      <c r="S242" s="115"/>
      <c r="T242" s="112"/>
      <c r="U242" s="170">
        <f>100000+230400</f>
        <v>330400</v>
      </c>
      <c r="V242" s="48">
        <f t="shared" si="48"/>
        <v>450.13623978201633</v>
      </c>
      <c r="W242" s="171">
        <f t="shared" si="49"/>
        <v>405.66815657219246</v>
      </c>
      <c r="X242" s="69">
        <v>50500</v>
      </c>
      <c r="Y242" s="48">
        <f t="shared" si="50"/>
        <v>68.801089918256125</v>
      </c>
      <c r="Z242" s="137">
        <f t="shared" si="51"/>
        <v>62.004364124987049</v>
      </c>
      <c r="AA242" s="69">
        <v>0</v>
      </c>
      <c r="AB242" s="48">
        <f t="shared" si="52"/>
        <v>0</v>
      </c>
      <c r="AC242" s="137">
        <f t="shared" si="53"/>
        <v>0</v>
      </c>
      <c r="AD242" s="70">
        <f t="shared" si="54"/>
        <v>380900</v>
      </c>
      <c r="AE242" s="71">
        <f t="shared" si="55"/>
        <v>518.93732970027247</v>
      </c>
      <c r="AF242" s="193">
        <f t="shared" si="56"/>
        <v>467.67252069717955</v>
      </c>
      <c r="AG242" s="185">
        <f t="shared" si="57"/>
        <v>3.5614773258532025E-3</v>
      </c>
      <c r="AH242" s="180">
        <f t="shared" si="61"/>
        <v>5.2010650645183312E-3</v>
      </c>
      <c r="AI242" s="189">
        <v>734</v>
      </c>
      <c r="AJ242" s="125">
        <v>814.4588</v>
      </c>
      <c r="AK242" s="149">
        <v>361</v>
      </c>
      <c r="AL242" s="221">
        <v>201</v>
      </c>
      <c r="AM242" s="216">
        <v>97.27272727272728</v>
      </c>
      <c r="AN242" s="213">
        <v>12.765957446808512</v>
      </c>
      <c r="AO242" s="127">
        <v>21.39</v>
      </c>
      <c r="AP242" s="133">
        <v>14.647</v>
      </c>
      <c r="AQ242" s="224">
        <f t="shared" si="58"/>
        <v>1.671981776765376</v>
      </c>
      <c r="AR242" s="158">
        <v>439</v>
      </c>
      <c r="AS242" s="229">
        <f t="shared" si="59"/>
        <v>0.77181913774973709</v>
      </c>
      <c r="AT242" s="230">
        <v>951</v>
      </c>
      <c r="AU242" s="203">
        <v>22.207084468664849</v>
      </c>
      <c r="AV242" s="204">
        <v>61.716621253406004</v>
      </c>
      <c r="AW242" s="205">
        <v>16.076294277929154</v>
      </c>
      <c r="AX242" s="123">
        <v>8.1677999999999997</v>
      </c>
      <c r="AY242" s="281">
        <v>4.0892193308550189</v>
      </c>
      <c r="AZ242" s="282">
        <v>33.828996282527882</v>
      </c>
      <c r="BA242" s="283">
        <f t="shared" si="60"/>
        <v>62.081784386617102</v>
      </c>
      <c r="BB242" s="234">
        <v>85.454545454545453</v>
      </c>
      <c r="BC242" s="20">
        <v>2008</v>
      </c>
      <c r="BD242" s="263" t="s">
        <v>556</v>
      </c>
      <c r="BE242" s="261" t="s">
        <v>556</v>
      </c>
      <c r="BF242" s="259" t="s">
        <v>556</v>
      </c>
      <c r="BG242" s="257" t="s">
        <v>1686</v>
      </c>
      <c r="BH242" s="254" t="s">
        <v>557</v>
      </c>
      <c r="BI242" s="249">
        <v>3.1914893617021276</v>
      </c>
      <c r="BJ242" s="308" t="s">
        <v>556</v>
      </c>
      <c r="BK242" s="307" t="s">
        <v>750</v>
      </c>
      <c r="BL242" s="319" t="s">
        <v>557</v>
      </c>
      <c r="BM242" s="320" t="s">
        <v>556</v>
      </c>
      <c r="BN242" s="321" t="s">
        <v>1957</v>
      </c>
      <c r="BO242" s="145" t="s">
        <v>998</v>
      </c>
      <c r="BP242" s="14" t="s">
        <v>556</v>
      </c>
      <c r="BQ242" s="14" t="s">
        <v>557</v>
      </c>
      <c r="BR242" s="72"/>
    </row>
    <row r="243" spans="1:70" s="56" customFormat="1" ht="13.95" customHeight="1" x14ac:dyDescent="0.3">
      <c r="A243" s="56" t="s">
        <v>459</v>
      </c>
      <c r="B243" s="57" t="s">
        <v>462</v>
      </c>
      <c r="C243" s="55" t="s">
        <v>167</v>
      </c>
      <c r="D243" s="58">
        <v>1</v>
      </c>
      <c r="E243" s="97" t="s">
        <v>617</v>
      </c>
      <c r="F243" s="60" t="s">
        <v>453</v>
      </c>
      <c r="G243" s="61" t="s">
        <v>113</v>
      </c>
      <c r="H243" s="61" t="s">
        <v>113</v>
      </c>
      <c r="I243" s="62" t="s">
        <v>113</v>
      </c>
      <c r="J243" s="63" t="s">
        <v>2125</v>
      </c>
      <c r="K243" s="99" t="s">
        <v>1113</v>
      </c>
      <c r="L243" s="130">
        <v>493555070</v>
      </c>
      <c r="M243" s="109" t="s">
        <v>564</v>
      </c>
      <c r="N243" s="12" t="s">
        <v>1112</v>
      </c>
      <c r="O243" s="100"/>
      <c r="P243" s="131">
        <v>724180036</v>
      </c>
      <c r="Q243" s="67"/>
      <c r="R243" s="68"/>
      <c r="S243" s="99"/>
      <c r="T243" s="65"/>
      <c r="U243" s="170">
        <f>359000+500000</f>
        <v>859000</v>
      </c>
      <c r="V243" s="48">
        <f t="shared" si="48"/>
        <v>2595.1661631419938</v>
      </c>
      <c r="W243" s="171">
        <f t="shared" si="49"/>
        <v>1727.3338210353465</v>
      </c>
      <c r="X243" s="69">
        <v>0</v>
      </c>
      <c r="Y243" s="48">
        <f t="shared" si="50"/>
        <v>0</v>
      </c>
      <c r="Z243" s="137">
        <f t="shared" si="51"/>
        <v>0</v>
      </c>
      <c r="AA243" s="69">
        <v>0</v>
      </c>
      <c r="AB243" s="48">
        <f t="shared" si="52"/>
        <v>0</v>
      </c>
      <c r="AC243" s="137">
        <f t="shared" si="53"/>
        <v>0</v>
      </c>
      <c r="AD243" s="70">
        <f t="shared" si="54"/>
        <v>859000</v>
      </c>
      <c r="AE243" s="71">
        <f t="shared" si="55"/>
        <v>2595.1661631419938</v>
      </c>
      <c r="AF243" s="193">
        <f t="shared" si="56"/>
        <v>1727.3338210353465</v>
      </c>
      <c r="AG243" s="185">
        <f t="shared" si="57"/>
        <v>4.4786235662148066E-2</v>
      </c>
      <c r="AH243" s="180">
        <f t="shared" si="61"/>
        <v>1.3317829457364343</v>
      </c>
      <c r="AI243" s="189">
        <v>331</v>
      </c>
      <c r="AJ243" s="125">
        <v>497.29820000000001</v>
      </c>
      <c r="AK243" s="149">
        <v>150</v>
      </c>
      <c r="AL243" s="221">
        <v>96</v>
      </c>
      <c r="AM243" s="216">
        <v>89.565217391304358</v>
      </c>
      <c r="AN243" s="213">
        <v>3.012048192771084</v>
      </c>
      <c r="AO243" s="127">
        <v>3.8359999999999999</v>
      </c>
      <c r="AP243" s="133">
        <v>0.129</v>
      </c>
      <c r="AQ243" s="224">
        <f t="shared" si="58"/>
        <v>1.3031496062992125</v>
      </c>
      <c r="AR243" s="158">
        <v>254</v>
      </c>
      <c r="AS243" s="229">
        <f t="shared" si="59"/>
        <v>0.51718750000000002</v>
      </c>
      <c r="AT243" s="230">
        <v>640</v>
      </c>
      <c r="AU243" s="203">
        <v>16.61631419939577</v>
      </c>
      <c r="AV243" s="204">
        <v>69.78851963746223</v>
      </c>
      <c r="AW243" s="205">
        <v>13.595166163141995</v>
      </c>
      <c r="AX243" s="123">
        <v>5.5556000000000001</v>
      </c>
      <c r="AY243" s="281">
        <v>3.0303030303030303</v>
      </c>
      <c r="AZ243" s="282">
        <v>44.696969696969695</v>
      </c>
      <c r="BA243" s="283">
        <f t="shared" si="60"/>
        <v>52.272727272727273</v>
      </c>
      <c r="BB243" s="234">
        <v>88.888888888888886</v>
      </c>
      <c r="BC243" s="20">
        <v>2010</v>
      </c>
      <c r="BD243" s="263" t="s">
        <v>556</v>
      </c>
      <c r="BE243" s="261" t="s">
        <v>556</v>
      </c>
      <c r="BF243" s="260" t="s">
        <v>557</v>
      </c>
      <c r="BG243" s="256">
        <v>24.620060790273556</v>
      </c>
      <c r="BH243" s="248" t="s">
        <v>556</v>
      </c>
      <c r="BI243" s="249">
        <v>59.395973154362416</v>
      </c>
      <c r="BJ243" s="309" t="s">
        <v>557</v>
      </c>
      <c r="BK243" s="307" t="s">
        <v>750</v>
      </c>
      <c r="BL243" s="319" t="s">
        <v>1728</v>
      </c>
      <c r="BM243" s="320" t="s">
        <v>556</v>
      </c>
      <c r="BN243" s="321" t="s">
        <v>1803</v>
      </c>
      <c r="BO243" s="145" t="s">
        <v>557</v>
      </c>
      <c r="BP243" s="14" t="s">
        <v>556</v>
      </c>
      <c r="BQ243" s="14" t="s">
        <v>556</v>
      </c>
    </row>
    <row r="244" spans="1:70" s="56" customFormat="1" ht="13.95" customHeight="1" x14ac:dyDescent="0.3">
      <c r="A244" s="56" t="s">
        <v>459</v>
      </c>
      <c r="B244" s="57" t="s">
        <v>462</v>
      </c>
      <c r="C244" s="55" t="s">
        <v>67</v>
      </c>
      <c r="D244" s="58">
        <v>3</v>
      </c>
      <c r="E244" s="59" t="s">
        <v>483</v>
      </c>
      <c r="F244" s="60" t="s">
        <v>452</v>
      </c>
      <c r="G244" s="61" t="s">
        <v>7</v>
      </c>
      <c r="H244" s="61" t="s">
        <v>7</v>
      </c>
      <c r="I244" s="62" t="s">
        <v>524</v>
      </c>
      <c r="J244" s="63" t="s">
        <v>2121</v>
      </c>
      <c r="K244" s="99" t="s">
        <v>2127</v>
      </c>
      <c r="L244" s="130">
        <v>495497234</v>
      </c>
      <c r="M244" s="109" t="s">
        <v>564</v>
      </c>
      <c r="N244" s="12" t="s">
        <v>910</v>
      </c>
      <c r="O244" s="100" t="s">
        <v>2126</v>
      </c>
      <c r="P244" s="131" t="s">
        <v>2128</v>
      </c>
      <c r="Q244" s="67"/>
      <c r="R244" s="68"/>
      <c r="S244" s="99"/>
      <c r="T244" s="65"/>
      <c r="U244" s="170">
        <f>102620+74202+453442</f>
        <v>630264</v>
      </c>
      <c r="V244" s="48">
        <f t="shared" si="48"/>
        <v>655.1600831600831</v>
      </c>
      <c r="W244" s="171">
        <f t="shared" si="49"/>
        <v>465.49373958986348</v>
      </c>
      <c r="X244" s="69">
        <v>62871</v>
      </c>
      <c r="Y244" s="48">
        <f t="shared" si="50"/>
        <v>65.354469854469855</v>
      </c>
      <c r="Z244" s="137">
        <f t="shared" si="51"/>
        <v>46.434600265530484</v>
      </c>
      <c r="AA244" s="69">
        <v>0</v>
      </c>
      <c r="AB244" s="48">
        <f t="shared" si="52"/>
        <v>0</v>
      </c>
      <c r="AC244" s="137">
        <f t="shared" si="53"/>
        <v>0</v>
      </c>
      <c r="AD244" s="70">
        <f t="shared" si="54"/>
        <v>693135</v>
      </c>
      <c r="AE244" s="71">
        <f t="shared" si="55"/>
        <v>720.51455301455303</v>
      </c>
      <c r="AF244" s="193">
        <f t="shared" si="56"/>
        <v>511.92833985539397</v>
      </c>
      <c r="AG244" s="185">
        <f t="shared" si="57"/>
        <v>1.413407422512235E-2</v>
      </c>
      <c r="AH244" s="180">
        <f t="shared" si="61"/>
        <v>6.3415827996340352E-2</v>
      </c>
      <c r="AI244" s="189">
        <v>962</v>
      </c>
      <c r="AJ244" s="125">
        <v>1353.9688000000001</v>
      </c>
      <c r="AK244" s="149">
        <v>420</v>
      </c>
      <c r="AL244" s="221">
        <v>312</v>
      </c>
      <c r="AM244" s="216">
        <v>98.542274052478135</v>
      </c>
      <c r="AN244" s="213">
        <v>0.92378752886836024</v>
      </c>
      <c r="AO244" s="127">
        <v>9.8079999999999998</v>
      </c>
      <c r="AP244" s="133">
        <v>2.1859999999999999</v>
      </c>
      <c r="AQ244" s="224">
        <f t="shared" si="58"/>
        <v>1.1344339622641511</v>
      </c>
      <c r="AR244" s="158">
        <v>848</v>
      </c>
      <c r="AS244" s="229">
        <f t="shared" si="59"/>
        <v>0.72330827067669168</v>
      </c>
      <c r="AT244" s="230">
        <v>1330</v>
      </c>
      <c r="AU244" s="203">
        <v>17.047817047817048</v>
      </c>
      <c r="AV244" s="204">
        <v>65.384615384615387</v>
      </c>
      <c r="AW244" s="205">
        <v>17.567567567567568</v>
      </c>
      <c r="AX244" s="123">
        <v>7.5</v>
      </c>
      <c r="AY244" s="281">
        <v>9.8734177215189867</v>
      </c>
      <c r="AZ244" s="282">
        <v>39.746835443037973</v>
      </c>
      <c r="BA244" s="283">
        <f t="shared" si="60"/>
        <v>50.379746835443036</v>
      </c>
      <c r="BB244" s="234">
        <v>80.693069306930695</v>
      </c>
      <c r="BC244" s="20">
        <v>2015</v>
      </c>
      <c r="BD244" s="263" t="s">
        <v>556</v>
      </c>
      <c r="BE244" s="261" t="s">
        <v>556</v>
      </c>
      <c r="BF244" s="259" t="s">
        <v>556</v>
      </c>
      <c r="BG244" s="256">
        <v>68.598524762908326</v>
      </c>
      <c r="BH244" s="248" t="s">
        <v>556</v>
      </c>
      <c r="BI244" s="249">
        <v>52.533039647577098</v>
      </c>
      <c r="BJ244" s="308" t="s">
        <v>556</v>
      </c>
      <c r="BK244" s="307" t="s">
        <v>750</v>
      </c>
      <c r="BL244" s="319" t="s">
        <v>1728</v>
      </c>
      <c r="BM244" s="320" t="s">
        <v>556</v>
      </c>
      <c r="BN244" s="321" t="s">
        <v>1803</v>
      </c>
      <c r="BO244" s="145" t="s">
        <v>556</v>
      </c>
      <c r="BP244" s="14">
        <v>2</v>
      </c>
      <c r="BQ244" s="14" t="s">
        <v>557</v>
      </c>
    </row>
    <row r="245" spans="1:70" s="81" customFormat="1" ht="13.95" customHeight="1" x14ac:dyDescent="0.3">
      <c r="A245" s="56" t="s">
        <v>459</v>
      </c>
      <c r="B245" s="57" t="s">
        <v>462</v>
      </c>
      <c r="C245" s="55" t="s">
        <v>168</v>
      </c>
      <c r="D245" s="58">
        <v>1</v>
      </c>
      <c r="E245" s="59"/>
      <c r="F245" s="60" t="s">
        <v>453</v>
      </c>
      <c r="G245" s="61" t="s">
        <v>117</v>
      </c>
      <c r="H245" s="61" t="s">
        <v>117</v>
      </c>
      <c r="I245" s="62" t="s">
        <v>117</v>
      </c>
      <c r="J245" s="63" t="s">
        <v>2129</v>
      </c>
      <c r="K245" s="99" t="s">
        <v>1115</v>
      </c>
      <c r="L245" s="130"/>
      <c r="M245" s="109" t="s">
        <v>537</v>
      </c>
      <c r="N245" s="12" t="s">
        <v>1114</v>
      </c>
      <c r="O245" s="100"/>
      <c r="P245" s="131">
        <v>725901609</v>
      </c>
      <c r="Q245" s="67"/>
      <c r="R245" s="68"/>
      <c r="S245" s="99"/>
      <c r="T245" s="65"/>
      <c r="U245" s="170">
        <f>758000+471200</f>
        <v>1229200</v>
      </c>
      <c r="V245" s="48">
        <f t="shared" si="48"/>
        <v>7634.782608695652</v>
      </c>
      <c r="W245" s="171">
        <f t="shared" si="49"/>
        <v>3790.0453035597502</v>
      </c>
      <c r="X245" s="69">
        <v>66840</v>
      </c>
      <c r="Y245" s="48">
        <f t="shared" si="50"/>
        <v>415.15527950310559</v>
      </c>
      <c r="Z245" s="137">
        <f t="shared" si="51"/>
        <v>206.09065090297241</v>
      </c>
      <c r="AA245" s="69">
        <v>0</v>
      </c>
      <c r="AB245" s="48">
        <f t="shared" si="52"/>
        <v>0</v>
      </c>
      <c r="AC245" s="137">
        <f t="shared" si="53"/>
        <v>0</v>
      </c>
      <c r="AD245" s="70">
        <f t="shared" si="54"/>
        <v>1296040</v>
      </c>
      <c r="AE245" s="71">
        <f t="shared" si="55"/>
        <v>8049.9378881987577</v>
      </c>
      <c r="AF245" s="193">
        <f t="shared" si="56"/>
        <v>3996.1359544627226</v>
      </c>
      <c r="AG245" s="185">
        <f t="shared" si="57"/>
        <v>9.9618754803996928E-2</v>
      </c>
      <c r="AH245" s="180">
        <f t="shared" si="61"/>
        <v>0.23802387511478423</v>
      </c>
      <c r="AI245" s="189">
        <v>161</v>
      </c>
      <c r="AJ245" s="125">
        <v>324.32330000000002</v>
      </c>
      <c r="AK245" s="149">
        <v>92</v>
      </c>
      <c r="AL245" s="221">
        <v>48</v>
      </c>
      <c r="AM245" s="216">
        <v>96.666666666666671</v>
      </c>
      <c r="AN245" s="213">
        <v>29.591836734693878</v>
      </c>
      <c r="AO245" s="127">
        <v>2.6019999999999999</v>
      </c>
      <c r="AP245" s="133">
        <v>1.089</v>
      </c>
      <c r="AQ245" s="224">
        <f t="shared" si="58"/>
        <v>0.99382716049382713</v>
      </c>
      <c r="AR245" s="158">
        <v>162</v>
      </c>
      <c r="AS245" s="229">
        <f t="shared" si="59"/>
        <v>0.37354988399071926</v>
      </c>
      <c r="AT245" s="230">
        <v>431</v>
      </c>
      <c r="AU245" s="203">
        <v>19.875776397515526</v>
      </c>
      <c r="AV245" s="204">
        <v>64.596273291925471</v>
      </c>
      <c r="AW245" s="205">
        <v>15.527950310559005</v>
      </c>
      <c r="AX245" s="123">
        <v>7.6189999999999998</v>
      </c>
      <c r="AY245" s="281">
        <v>8.4745762711864394</v>
      </c>
      <c r="AZ245" s="282">
        <v>49.152542372881356</v>
      </c>
      <c r="BA245" s="283">
        <f t="shared" si="60"/>
        <v>42.372881355932208</v>
      </c>
      <c r="BB245" s="234">
        <v>96.428571428571416</v>
      </c>
      <c r="BC245" s="20">
        <v>2014</v>
      </c>
      <c r="BD245" s="263" t="s">
        <v>556</v>
      </c>
      <c r="BE245" s="261" t="s">
        <v>556</v>
      </c>
      <c r="BF245" s="260" t="s">
        <v>557</v>
      </c>
      <c r="BG245" s="256">
        <v>10.32258064516129</v>
      </c>
      <c r="BH245" s="248" t="s">
        <v>556</v>
      </c>
      <c r="BI245" s="249">
        <v>56.29139072847682</v>
      </c>
      <c r="BJ245" s="309" t="s">
        <v>557</v>
      </c>
      <c r="BK245" s="307" t="s">
        <v>557</v>
      </c>
      <c r="BL245" s="319" t="s">
        <v>1728</v>
      </c>
      <c r="BM245" s="320" t="s">
        <v>557</v>
      </c>
      <c r="BN245" s="321" t="s">
        <v>557</v>
      </c>
      <c r="BO245" s="145" t="s">
        <v>557</v>
      </c>
      <c r="BP245" s="14" t="s">
        <v>557</v>
      </c>
      <c r="BQ245" s="14" t="s">
        <v>557</v>
      </c>
      <c r="BR245" s="72"/>
    </row>
    <row r="246" spans="1:70" s="56" customFormat="1" ht="13.95" customHeight="1" x14ac:dyDescent="0.3">
      <c r="A246" s="56" t="s">
        <v>460</v>
      </c>
      <c r="B246" s="77" t="s">
        <v>464</v>
      </c>
      <c r="C246" s="74" t="s">
        <v>169</v>
      </c>
      <c r="D246" s="58">
        <v>13</v>
      </c>
      <c r="E246" s="59" t="s">
        <v>618</v>
      </c>
      <c r="F246" s="60" t="s">
        <v>453</v>
      </c>
      <c r="G246" s="75" t="s">
        <v>169</v>
      </c>
      <c r="H246" s="75" t="s">
        <v>169</v>
      </c>
      <c r="I246" s="76" t="s">
        <v>169</v>
      </c>
      <c r="J246" s="63" t="s">
        <v>2135</v>
      </c>
      <c r="K246" s="99" t="s">
        <v>2130</v>
      </c>
      <c r="L246" s="130">
        <v>493760111</v>
      </c>
      <c r="M246" s="109" t="s">
        <v>564</v>
      </c>
      <c r="N246" s="12" t="s">
        <v>1116</v>
      </c>
      <c r="O246" s="100" t="s">
        <v>1117</v>
      </c>
      <c r="P246" s="131" t="s">
        <v>2131</v>
      </c>
      <c r="Q246" s="67"/>
      <c r="R246" s="68"/>
      <c r="S246" s="99"/>
      <c r="T246" s="65"/>
      <c r="U246" s="172">
        <v>0</v>
      </c>
      <c r="V246" s="135">
        <f t="shared" si="48"/>
        <v>0</v>
      </c>
      <c r="W246" s="173">
        <f t="shared" si="49"/>
        <v>0</v>
      </c>
      <c r="X246" s="69">
        <v>2985060</v>
      </c>
      <c r="Y246" s="48">
        <f t="shared" si="50"/>
        <v>324.18114682884448</v>
      </c>
      <c r="Z246" s="137">
        <f t="shared" si="51"/>
        <v>1040.7783764002372</v>
      </c>
      <c r="AA246" s="69">
        <v>0</v>
      </c>
      <c r="AB246" s="48">
        <f t="shared" si="52"/>
        <v>0</v>
      </c>
      <c r="AC246" s="137">
        <f t="shared" si="53"/>
        <v>0</v>
      </c>
      <c r="AD246" s="70">
        <f t="shared" si="54"/>
        <v>2985060</v>
      </c>
      <c r="AE246" s="71">
        <f t="shared" si="55"/>
        <v>324.18114682884448</v>
      </c>
      <c r="AF246" s="193">
        <f t="shared" si="56"/>
        <v>1040.7783764002372</v>
      </c>
      <c r="AG246" s="185">
        <f t="shared" si="57"/>
        <v>3.3281414626804102E-3</v>
      </c>
      <c r="AH246" s="180">
        <f t="shared" si="61"/>
        <v>7.9476556883836102E-3</v>
      </c>
      <c r="AI246" s="189">
        <v>9208</v>
      </c>
      <c r="AJ246" s="126">
        <v>2868.1034</v>
      </c>
      <c r="AK246" s="150">
        <v>2826</v>
      </c>
      <c r="AL246" s="221">
        <v>2051</v>
      </c>
      <c r="AM246" s="216">
        <v>60.31117397454031</v>
      </c>
      <c r="AN246" s="213">
        <v>6.0136246182757809</v>
      </c>
      <c r="AO246" s="128">
        <v>179.38300000000001</v>
      </c>
      <c r="AP246" s="134">
        <v>75.117999999999995</v>
      </c>
      <c r="AQ246" s="224">
        <f t="shared" si="58"/>
        <v>0.98166311300639664</v>
      </c>
      <c r="AR246" s="158">
        <v>9380</v>
      </c>
      <c r="AS246" s="229">
        <f t="shared" si="59"/>
        <v>1.0289417812046038</v>
      </c>
      <c r="AT246" s="230">
        <v>8949</v>
      </c>
      <c r="AU246" s="203">
        <v>14.215899218071243</v>
      </c>
      <c r="AV246" s="204">
        <v>64.900086880973063</v>
      </c>
      <c r="AW246" s="205">
        <v>20.884013900955694</v>
      </c>
      <c r="AX246" s="123">
        <v>3.9456000000000002</v>
      </c>
      <c r="AY246" s="281">
        <v>1.3329979879275655</v>
      </c>
      <c r="AZ246" s="282">
        <v>40.719315895372233</v>
      </c>
      <c r="BA246" s="283">
        <f t="shared" si="60"/>
        <v>57.947686116700197</v>
      </c>
      <c r="BB246" s="234">
        <v>57.749196141479096</v>
      </c>
      <c r="BC246" s="20">
        <v>2011</v>
      </c>
      <c r="BD246" s="263" t="s">
        <v>556</v>
      </c>
      <c r="BE246" s="261" t="s">
        <v>556</v>
      </c>
      <c r="BF246" s="259" t="s">
        <v>556</v>
      </c>
      <c r="BG246" s="256">
        <v>75.583603261476597</v>
      </c>
      <c r="BH246" s="248" t="s">
        <v>556</v>
      </c>
      <c r="BI246" s="249">
        <v>74.874136517972133</v>
      </c>
      <c r="BJ246" s="311" t="s">
        <v>2132</v>
      </c>
      <c r="BK246" s="307" t="s">
        <v>556</v>
      </c>
      <c r="BL246" s="319" t="s">
        <v>1777</v>
      </c>
      <c r="BM246" s="320" t="s">
        <v>556</v>
      </c>
      <c r="BN246" s="321" t="s">
        <v>2133</v>
      </c>
      <c r="BO246" s="145" t="s">
        <v>556</v>
      </c>
      <c r="BP246" s="14">
        <v>7</v>
      </c>
      <c r="BQ246" s="14" t="s">
        <v>556</v>
      </c>
    </row>
    <row r="247" spans="1:70" s="56" customFormat="1" ht="13.95" customHeight="1" x14ac:dyDescent="0.3">
      <c r="A247" s="56" t="s">
        <v>459</v>
      </c>
      <c r="B247" s="57" t="s">
        <v>462</v>
      </c>
      <c r="C247" s="55" t="s">
        <v>344</v>
      </c>
      <c r="D247" s="58">
        <v>1</v>
      </c>
      <c r="E247" s="59"/>
      <c r="F247" s="60" t="s">
        <v>455</v>
      </c>
      <c r="G247" s="61" t="s">
        <v>529</v>
      </c>
      <c r="H247" s="61" t="s">
        <v>530</v>
      </c>
      <c r="I247" s="62" t="s">
        <v>530</v>
      </c>
      <c r="J247" s="63" t="s">
        <v>2134</v>
      </c>
      <c r="K247" s="99" t="s">
        <v>1468</v>
      </c>
      <c r="L247" s="130">
        <v>494371685</v>
      </c>
      <c r="M247" s="109" t="s">
        <v>564</v>
      </c>
      <c r="N247" s="12" t="s">
        <v>1467</v>
      </c>
      <c r="O247" s="100" t="s">
        <v>457</v>
      </c>
      <c r="P247" s="131">
        <v>737291519</v>
      </c>
      <c r="Q247" s="82"/>
      <c r="R247" s="72"/>
      <c r="S247" s="115"/>
      <c r="T247" s="112"/>
      <c r="U247" s="170">
        <v>0</v>
      </c>
      <c r="V247" s="48">
        <f t="shared" si="48"/>
        <v>0</v>
      </c>
      <c r="W247" s="171">
        <f t="shared" si="49"/>
        <v>0</v>
      </c>
      <c r="X247" s="69">
        <v>150000</v>
      </c>
      <c r="Y247" s="48">
        <f t="shared" si="50"/>
        <v>842.69662921348311</v>
      </c>
      <c r="Z247" s="137">
        <f t="shared" si="51"/>
        <v>178.07859605684126</v>
      </c>
      <c r="AA247" s="69">
        <v>0</v>
      </c>
      <c r="AB247" s="48">
        <f t="shared" si="52"/>
        <v>0</v>
      </c>
      <c r="AC247" s="137">
        <f t="shared" si="53"/>
        <v>0</v>
      </c>
      <c r="AD247" s="70">
        <f t="shared" si="54"/>
        <v>150000</v>
      </c>
      <c r="AE247" s="71">
        <f t="shared" si="55"/>
        <v>842.69662921348311</v>
      </c>
      <c r="AF247" s="193">
        <f t="shared" si="56"/>
        <v>178.07859605684126</v>
      </c>
      <c r="AG247" s="185">
        <f t="shared" si="57"/>
        <v>2.6064291920069503E-2</v>
      </c>
      <c r="AH247" s="180">
        <f t="shared" si="61"/>
        <v>0.21739130434782611</v>
      </c>
      <c r="AI247" s="189">
        <v>178</v>
      </c>
      <c r="AJ247" s="125">
        <v>842.32470000000001</v>
      </c>
      <c r="AK247" s="149">
        <v>227</v>
      </c>
      <c r="AL247" s="221">
        <v>53</v>
      </c>
      <c r="AM247" s="216">
        <v>100</v>
      </c>
      <c r="AN247" s="213">
        <v>3.333333333333333</v>
      </c>
      <c r="AO247" s="127">
        <v>1.151</v>
      </c>
      <c r="AP247" s="133">
        <v>0.13800000000000001</v>
      </c>
      <c r="AQ247" s="224">
        <f t="shared" si="58"/>
        <v>1.0787878787878789</v>
      </c>
      <c r="AR247" s="158">
        <v>165</v>
      </c>
      <c r="AS247" s="229">
        <f t="shared" si="59"/>
        <v>0.60544217687074831</v>
      </c>
      <c r="AT247" s="230">
        <v>294</v>
      </c>
      <c r="AU247" s="203">
        <v>15.730337078651685</v>
      </c>
      <c r="AV247" s="204">
        <v>66.853932584269657</v>
      </c>
      <c r="AW247" s="205">
        <v>17.415730337078653</v>
      </c>
      <c r="AX247" s="123">
        <v>1.6807000000000001</v>
      </c>
      <c r="AY247" s="281">
        <v>12.162162162162163</v>
      </c>
      <c r="AZ247" s="282">
        <v>25.675675675675674</v>
      </c>
      <c r="BA247" s="283">
        <f t="shared" si="60"/>
        <v>62.162162162162161</v>
      </c>
      <c r="BB247" s="234">
        <v>96.296296296296291</v>
      </c>
      <c r="BC247" s="20">
        <v>2017</v>
      </c>
      <c r="BD247" s="264" t="s">
        <v>557</v>
      </c>
      <c r="BE247" s="261" t="s">
        <v>556</v>
      </c>
      <c r="BF247" s="260" t="s">
        <v>557</v>
      </c>
      <c r="BG247" s="257">
        <v>1.2820512820512799</v>
      </c>
      <c r="BH247" s="248" t="s">
        <v>556</v>
      </c>
      <c r="BI247" s="249">
        <v>7.1428571428571423</v>
      </c>
      <c r="BJ247" s="309" t="s">
        <v>557</v>
      </c>
      <c r="BK247" s="307" t="s">
        <v>557</v>
      </c>
      <c r="BL247" s="319" t="s">
        <v>1728</v>
      </c>
      <c r="BM247" s="320" t="s">
        <v>556</v>
      </c>
      <c r="BN247" s="321" t="s">
        <v>1838</v>
      </c>
      <c r="BO247" s="145" t="s">
        <v>557</v>
      </c>
      <c r="BP247" s="14" t="s">
        <v>557</v>
      </c>
      <c r="BQ247" s="14" t="s">
        <v>557</v>
      </c>
      <c r="BR247" s="72"/>
    </row>
    <row r="248" spans="1:70" s="72" customFormat="1" ht="13.95" customHeight="1" x14ac:dyDescent="0.3">
      <c r="A248" s="56" t="s">
        <v>459</v>
      </c>
      <c r="B248" s="57" t="s">
        <v>462</v>
      </c>
      <c r="C248" s="55" t="s">
        <v>68</v>
      </c>
      <c r="D248" s="58">
        <v>1</v>
      </c>
      <c r="E248" s="340"/>
      <c r="F248" s="60" t="s">
        <v>452</v>
      </c>
      <c r="G248" s="61" t="s">
        <v>11</v>
      </c>
      <c r="H248" s="61" t="s">
        <v>524</v>
      </c>
      <c r="I248" s="62" t="s">
        <v>524</v>
      </c>
      <c r="J248" s="63" t="s">
        <v>2136</v>
      </c>
      <c r="K248" s="99" t="s">
        <v>912</v>
      </c>
      <c r="L248" s="130">
        <v>495486042</v>
      </c>
      <c r="M248" s="109" t="s">
        <v>564</v>
      </c>
      <c r="N248" s="12" t="s">
        <v>911</v>
      </c>
      <c r="O248" s="100"/>
      <c r="P248" s="131">
        <v>725086600</v>
      </c>
      <c r="Q248" s="67"/>
      <c r="R248" s="68"/>
      <c r="S248" s="99"/>
      <c r="T248" s="65"/>
      <c r="U248" s="170">
        <v>34000</v>
      </c>
      <c r="V248" s="48">
        <f t="shared" si="48"/>
        <v>83.743842364532014</v>
      </c>
      <c r="W248" s="171">
        <f t="shared" si="49"/>
        <v>42.839929485476063</v>
      </c>
      <c r="X248" s="69">
        <v>878832</v>
      </c>
      <c r="Y248" s="48">
        <f t="shared" si="50"/>
        <v>2164.6108374384235</v>
      </c>
      <c r="Z248" s="137">
        <f t="shared" si="51"/>
        <v>1107.3264973405853</v>
      </c>
      <c r="AA248" s="69">
        <v>0</v>
      </c>
      <c r="AB248" s="48">
        <f t="shared" si="52"/>
        <v>0</v>
      </c>
      <c r="AC248" s="137">
        <f t="shared" si="53"/>
        <v>0</v>
      </c>
      <c r="AD248" s="70">
        <f t="shared" si="54"/>
        <v>912832</v>
      </c>
      <c r="AE248" s="71">
        <f t="shared" si="55"/>
        <v>2248.3546798029556</v>
      </c>
      <c r="AF248" s="193">
        <f t="shared" si="56"/>
        <v>1150.1664268260615</v>
      </c>
      <c r="AG248" s="185">
        <f t="shared" si="57"/>
        <v>2.9252747957058164E-2</v>
      </c>
      <c r="AH248" s="180">
        <f t="shared" si="61"/>
        <v>7.9967761717038982E-2</v>
      </c>
      <c r="AI248" s="189">
        <v>406</v>
      </c>
      <c r="AJ248" s="125">
        <v>793.65210000000002</v>
      </c>
      <c r="AK248" s="149">
        <v>155</v>
      </c>
      <c r="AL248" s="221">
        <v>122</v>
      </c>
      <c r="AM248" s="216">
        <v>85.350318471337587</v>
      </c>
      <c r="AN248" s="213">
        <v>2.6595744680851063</v>
      </c>
      <c r="AO248" s="127">
        <v>6.2409999999999997</v>
      </c>
      <c r="AP248" s="133">
        <v>2.2829999999999999</v>
      </c>
      <c r="AQ248" s="224">
        <f t="shared" si="58"/>
        <v>1.0545454545454545</v>
      </c>
      <c r="AR248" s="158">
        <v>385</v>
      </c>
      <c r="AS248" s="229">
        <f t="shared" si="59"/>
        <v>0.88646288209606983</v>
      </c>
      <c r="AT248" s="230">
        <v>458</v>
      </c>
      <c r="AU248" s="203">
        <v>13.793103448275861</v>
      </c>
      <c r="AV248" s="204">
        <v>68.965517241379317</v>
      </c>
      <c r="AW248" s="205">
        <v>17.241379310344829</v>
      </c>
      <c r="AX248" s="123">
        <v>5.2632000000000003</v>
      </c>
      <c r="AY248" s="281">
        <v>10.294117647058822</v>
      </c>
      <c r="AZ248" s="282">
        <v>28.921568627450984</v>
      </c>
      <c r="BA248" s="283">
        <f t="shared" si="60"/>
        <v>60.784313725490193</v>
      </c>
      <c r="BB248" s="234">
        <v>58.156028368794331</v>
      </c>
      <c r="BC248" s="20">
        <v>2003</v>
      </c>
      <c r="BD248" s="263" t="s">
        <v>556</v>
      </c>
      <c r="BE248" s="261" t="s">
        <v>556</v>
      </c>
      <c r="BF248" s="259" t="s">
        <v>556</v>
      </c>
      <c r="BG248" s="256">
        <v>16.745283018867923</v>
      </c>
      <c r="BH248" s="248" t="s">
        <v>556</v>
      </c>
      <c r="BI248" s="249">
        <v>59.595959595959592</v>
      </c>
      <c r="BJ248" s="309" t="s">
        <v>557</v>
      </c>
      <c r="BK248" s="307" t="s">
        <v>750</v>
      </c>
      <c r="BL248" s="319" t="s">
        <v>1728</v>
      </c>
      <c r="BM248" s="320" t="s">
        <v>556</v>
      </c>
      <c r="BN248" s="321" t="s">
        <v>1803</v>
      </c>
      <c r="BO248" s="145" t="s">
        <v>557</v>
      </c>
      <c r="BP248" s="14" t="s">
        <v>556</v>
      </c>
      <c r="BQ248" s="14" t="s">
        <v>556</v>
      </c>
      <c r="BR248" s="56"/>
    </row>
    <row r="249" spans="1:70" s="72" customFormat="1" ht="13.95" customHeight="1" x14ac:dyDescent="0.3">
      <c r="A249" s="56" t="s">
        <v>460</v>
      </c>
      <c r="B249" s="77" t="s">
        <v>464</v>
      </c>
      <c r="C249" s="74" t="s">
        <v>266</v>
      </c>
      <c r="D249" s="58">
        <v>4</v>
      </c>
      <c r="E249" s="59" t="s">
        <v>760</v>
      </c>
      <c r="F249" s="60" t="s">
        <v>454</v>
      </c>
      <c r="G249" s="75" t="s">
        <v>526</v>
      </c>
      <c r="H249" s="75" t="s">
        <v>526</v>
      </c>
      <c r="I249" s="76" t="s">
        <v>526</v>
      </c>
      <c r="J249" s="63" t="s">
        <v>2137</v>
      </c>
      <c r="K249" s="99" t="s">
        <v>2138</v>
      </c>
      <c r="L249" s="130">
        <v>491419611</v>
      </c>
      <c r="M249" s="109" t="s">
        <v>564</v>
      </c>
      <c r="N249" s="12" t="s">
        <v>1326</v>
      </c>
      <c r="O249" s="100" t="s">
        <v>1327</v>
      </c>
      <c r="P249" s="131" t="s">
        <v>2139</v>
      </c>
      <c r="Q249" s="67"/>
      <c r="R249" s="68"/>
      <c r="S249" s="99"/>
      <c r="T249" s="65"/>
      <c r="U249" s="172">
        <v>0</v>
      </c>
      <c r="V249" s="135">
        <f t="shared" si="48"/>
        <v>0</v>
      </c>
      <c r="W249" s="173">
        <f t="shared" si="49"/>
        <v>0</v>
      </c>
      <c r="X249" s="69">
        <f>2002049+10000+100500+128000+66000</f>
        <v>2306549</v>
      </c>
      <c r="Y249" s="48">
        <f t="shared" si="50"/>
        <v>241.5234554973822</v>
      </c>
      <c r="Z249" s="137">
        <f t="shared" si="51"/>
        <v>997.1000631879557</v>
      </c>
      <c r="AA249" s="69">
        <v>0</v>
      </c>
      <c r="AB249" s="48">
        <f t="shared" si="52"/>
        <v>0</v>
      </c>
      <c r="AC249" s="137">
        <f t="shared" si="53"/>
        <v>0</v>
      </c>
      <c r="AD249" s="70">
        <f t="shared" si="54"/>
        <v>2306549</v>
      </c>
      <c r="AE249" s="71">
        <f t="shared" si="55"/>
        <v>241.5234554973822</v>
      </c>
      <c r="AF249" s="193">
        <f t="shared" si="56"/>
        <v>997.1000631879557</v>
      </c>
      <c r="AG249" s="185">
        <f t="shared" si="57"/>
        <v>3.0394520800664146E-3</v>
      </c>
      <c r="AH249" s="180">
        <f t="shared" si="61"/>
        <v>3.4692772805896062E-2</v>
      </c>
      <c r="AI249" s="189">
        <v>9550</v>
      </c>
      <c r="AJ249" s="126">
        <v>2313.2573000000002</v>
      </c>
      <c r="AK249" s="150">
        <v>2395</v>
      </c>
      <c r="AL249" s="221">
        <v>1703</v>
      </c>
      <c r="AM249" s="216">
        <v>45.388601036269435</v>
      </c>
      <c r="AN249" s="213">
        <v>2.0445669653112795</v>
      </c>
      <c r="AO249" s="128">
        <v>151.774</v>
      </c>
      <c r="AP249" s="134">
        <v>13.297000000000001</v>
      </c>
      <c r="AQ249" s="224">
        <f t="shared" si="58"/>
        <v>0.93444227005870839</v>
      </c>
      <c r="AR249" s="158">
        <v>10220</v>
      </c>
      <c r="AS249" s="229">
        <f t="shared" si="59"/>
        <v>1.5906062624916721</v>
      </c>
      <c r="AT249" s="230">
        <v>6004</v>
      </c>
      <c r="AU249" s="203">
        <v>13.821989528795811</v>
      </c>
      <c r="AV249" s="204">
        <v>63.549738219895289</v>
      </c>
      <c r="AW249" s="205">
        <v>22.6282722513089</v>
      </c>
      <c r="AX249" s="123">
        <v>3.2248000000000001</v>
      </c>
      <c r="AY249" s="281">
        <v>1.3098356751607527</v>
      </c>
      <c r="AZ249" s="282">
        <v>41.438437723267448</v>
      </c>
      <c r="BA249" s="283">
        <f t="shared" si="60"/>
        <v>57.251726601571796</v>
      </c>
      <c r="BB249" s="234">
        <v>51.248799231508166</v>
      </c>
      <c r="BC249" s="20">
        <v>1996</v>
      </c>
      <c r="BD249" s="263" t="s">
        <v>556</v>
      </c>
      <c r="BE249" s="261" t="s">
        <v>556</v>
      </c>
      <c r="BF249" s="259" t="s">
        <v>556</v>
      </c>
      <c r="BG249" s="256">
        <v>86.958373256680517</v>
      </c>
      <c r="BH249" s="248" t="s">
        <v>556</v>
      </c>
      <c r="BI249" s="249">
        <v>70.141223940820439</v>
      </c>
      <c r="BJ249" s="311" t="s">
        <v>2140</v>
      </c>
      <c r="BK249" s="307" t="s">
        <v>556</v>
      </c>
      <c r="BL249" s="319" t="s">
        <v>1728</v>
      </c>
      <c r="BM249" s="320" t="s">
        <v>556</v>
      </c>
      <c r="BN249" s="321" t="s">
        <v>2141</v>
      </c>
      <c r="BO249" s="145" t="s">
        <v>556</v>
      </c>
      <c r="BP249" s="14">
        <v>4</v>
      </c>
      <c r="BQ249" s="14" t="s">
        <v>556</v>
      </c>
      <c r="BR249" s="56"/>
    </row>
    <row r="250" spans="1:70" s="56" customFormat="1" ht="13.95" customHeight="1" x14ac:dyDescent="0.3">
      <c r="A250" s="56" t="s">
        <v>460</v>
      </c>
      <c r="B250" s="77" t="s">
        <v>464</v>
      </c>
      <c r="C250" s="74" t="s">
        <v>7</v>
      </c>
      <c r="D250" s="58">
        <v>8</v>
      </c>
      <c r="E250" s="59" t="s">
        <v>2494</v>
      </c>
      <c r="F250" s="60" t="s">
        <v>452</v>
      </c>
      <c r="G250" s="75" t="s">
        <v>7</v>
      </c>
      <c r="H250" s="75" t="s">
        <v>7</v>
      </c>
      <c r="I250" s="76" t="s">
        <v>7</v>
      </c>
      <c r="J250" s="63" t="s">
        <v>2142</v>
      </c>
      <c r="K250" s="99" t="s">
        <v>2143</v>
      </c>
      <c r="L250" s="130">
        <v>495703911</v>
      </c>
      <c r="M250" s="109" t="s">
        <v>564</v>
      </c>
      <c r="N250" s="12" t="s">
        <v>913</v>
      </c>
      <c r="O250" s="100" t="s">
        <v>914</v>
      </c>
      <c r="P250" s="130">
        <v>495703910</v>
      </c>
      <c r="Q250" s="67"/>
      <c r="R250" s="68"/>
      <c r="S250" s="99"/>
      <c r="T250" s="65"/>
      <c r="U250" s="172">
        <v>0</v>
      </c>
      <c r="V250" s="135">
        <f t="shared" si="48"/>
        <v>0</v>
      </c>
      <c r="W250" s="173">
        <f t="shared" si="49"/>
        <v>0</v>
      </c>
      <c r="X250" s="69">
        <f>1167029+55000+35000+34700+61000+15000+20000</f>
        <v>1387729</v>
      </c>
      <c r="Y250" s="48">
        <f t="shared" si="50"/>
        <v>196.11772187676652</v>
      </c>
      <c r="Z250" s="137">
        <f t="shared" si="51"/>
        <v>393.38774294381687</v>
      </c>
      <c r="AA250" s="69">
        <v>1300000</v>
      </c>
      <c r="AB250" s="48">
        <f t="shared" si="52"/>
        <v>183.71961560203505</v>
      </c>
      <c r="AC250" s="137">
        <f t="shared" si="53"/>
        <v>368.51868471939542</v>
      </c>
      <c r="AD250" s="70">
        <f t="shared" si="54"/>
        <v>2687729</v>
      </c>
      <c r="AE250" s="71">
        <f t="shared" si="55"/>
        <v>379.8373374788016</v>
      </c>
      <c r="AF250" s="193">
        <f t="shared" si="56"/>
        <v>761.9064276632123</v>
      </c>
      <c r="AG250" s="185">
        <f t="shared" si="57"/>
        <v>3.2102827794201079E-3</v>
      </c>
      <c r="AH250" s="180">
        <f t="shared" si="61"/>
        <v>1.1785183723581514E-2</v>
      </c>
      <c r="AI250" s="189">
        <v>7076</v>
      </c>
      <c r="AJ250" s="126">
        <v>3527.6365999999998</v>
      </c>
      <c r="AK250" s="150">
        <v>2353</v>
      </c>
      <c r="AL250" s="221">
        <v>1715</v>
      </c>
      <c r="AM250" s="216">
        <v>64.416727806309609</v>
      </c>
      <c r="AN250" s="213">
        <v>3.071875932001193</v>
      </c>
      <c r="AO250" s="128">
        <v>167.44499999999999</v>
      </c>
      <c r="AP250" s="134">
        <v>45.612000000000002</v>
      </c>
      <c r="AQ250" s="224">
        <f t="shared" si="58"/>
        <v>0.97707815520574426</v>
      </c>
      <c r="AR250" s="158">
        <v>7242</v>
      </c>
      <c r="AS250" s="229">
        <f t="shared" si="59"/>
        <v>0.76126949973103819</v>
      </c>
      <c r="AT250" s="230">
        <v>9295</v>
      </c>
      <c r="AU250" s="203">
        <v>14.174674957603164</v>
      </c>
      <c r="AV250" s="204">
        <v>66.280384397964951</v>
      </c>
      <c r="AW250" s="205">
        <v>19.544940644431883</v>
      </c>
      <c r="AX250" s="123">
        <v>7.6414999999999997</v>
      </c>
      <c r="AY250" s="281">
        <v>3.1649831649831652</v>
      </c>
      <c r="AZ250" s="282">
        <v>35.084175084175087</v>
      </c>
      <c r="BA250" s="283">
        <f t="shared" si="60"/>
        <v>61.750841750841744</v>
      </c>
      <c r="BB250" s="234">
        <v>41.728561782579334</v>
      </c>
      <c r="BC250" s="20">
        <v>2012</v>
      </c>
      <c r="BD250" s="263" t="s">
        <v>556</v>
      </c>
      <c r="BE250" s="261" t="s">
        <v>556</v>
      </c>
      <c r="BF250" s="259" t="s">
        <v>556</v>
      </c>
      <c r="BG250" s="256">
        <v>91.408250355618776</v>
      </c>
      <c r="BH250" s="248" t="s">
        <v>556</v>
      </c>
      <c r="BI250" s="249">
        <v>67.879722436391674</v>
      </c>
      <c r="BJ250" s="308" t="s">
        <v>556</v>
      </c>
      <c r="BK250" s="307" t="s">
        <v>556</v>
      </c>
      <c r="BL250" s="319" t="s">
        <v>1777</v>
      </c>
      <c r="BM250" s="320" t="s">
        <v>556</v>
      </c>
      <c r="BN250" s="321" t="s">
        <v>2144</v>
      </c>
      <c r="BO250" s="145" t="s">
        <v>556</v>
      </c>
      <c r="BP250" s="14">
        <v>8</v>
      </c>
      <c r="BQ250" s="14" t="s">
        <v>556</v>
      </c>
      <c r="BR250" s="72"/>
    </row>
    <row r="251" spans="1:70" s="56" customFormat="1" ht="13.95" customHeight="1" x14ac:dyDescent="0.3">
      <c r="A251" s="56" t="s">
        <v>459</v>
      </c>
      <c r="B251" s="57" t="s">
        <v>463</v>
      </c>
      <c r="C251" s="55" t="s">
        <v>230</v>
      </c>
      <c r="D251" s="58">
        <v>4</v>
      </c>
      <c r="E251" s="59" t="s">
        <v>656</v>
      </c>
      <c r="F251" s="60" t="s">
        <v>454</v>
      </c>
      <c r="G251" s="61" t="s">
        <v>226</v>
      </c>
      <c r="H251" s="61" t="s">
        <v>226</v>
      </c>
      <c r="I251" s="62" t="s">
        <v>226</v>
      </c>
      <c r="J251" s="63" t="s">
        <v>2145</v>
      </c>
      <c r="K251" s="99" t="s">
        <v>2146</v>
      </c>
      <c r="L251" s="130">
        <v>491478149</v>
      </c>
      <c r="M251" s="109" t="s">
        <v>564</v>
      </c>
      <c r="N251" s="12" t="s">
        <v>1328</v>
      </c>
      <c r="O251" s="100" t="s">
        <v>1329</v>
      </c>
      <c r="P251" s="131" t="s">
        <v>2147</v>
      </c>
      <c r="Q251" s="67"/>
      <c r="R251" s="68"/>
      <c r="S251" s="99"/>
      <c r="T251" s="65"/>
      <c r="U251" s="170">
        <f>235053+650000</f>
        <v>885053</v>
      </c>
      <c r="V251" s="48">
        <f t="shared" si="48"/>
        <v>1076.706812652068</v>
      </c>
      <c r="W251" s="171">
        <f t="shared" si="49"/>
        <v>776.78678786740477</v>
      </c>
      <c r="X251" s="69">
        <f>119274+105000</f>
        <v>224274</v>
      </c>
      <c r="Y251" s="48">
        <f t="shared" si="50"/>
        <v>272.83941605839414</v>
      </c>
      <c r="Z251" s="137">
        <f t="shared" si="51"/>
        <v>196.8391498160837</v>
      </c>
      <c r="AA251" s="69">
        <v>0</v>
      </c>
      <c r="AB251" s="48">
        <f t="shared" si="52"/>
        <v>0</v>
      </c>
      <c r="AC251" s="137">
        <f t="shared" si="53"/>
        <v>0</v>
      </c>
      <c r="AD251" s="70">
        <f t="shared" si="54"/>
        <v>1109327</v>
      </c>
      <c r="AE251" s="71">
        <f t="shared" si="55"/>
        <v>1349.5462287104622</v>
      </c>
      <c r="AF251" s="193">
        <f t="shared" si="56"/>
        <v>973.62593768348847</v>
      </c>
      <c r="AG251" s="185">
        <f t="shared" si="57"/>
        <v>1.9336360467143106E-2</v>
      </c>
      <c r="AH251" s="180">
        <f t="shared" si="61"/>
        <v>0.13653255384615384</v>
      </c>
      <c r="AI251" s="189">
        <v>822</v>
      </c>
      <c r="AJ251" s="125">
        <v>1139.377</v>
      </c>
      <c r="AK251" s="149">
        <v>487</v>
      </c>
      <c r="AL251" s="221">
        <v>199</v>
      </c>
      <c r="AM251" s="216">
        <v>68.402777777777786</v>
      </c>
      <c r="AN251" s="213">
        <v>29.313929313929311</v>
      </c>
      <c r="AO251" s="127">
        <v>11.474</v>
      </c>
      <c r="AP251" s="133">
        <v>1.625</v>
      </c>
      <c r="AQ251" s="224">
        <f t="shared" si="58"/>
        <v>1.1742857142857144</v>
      </c>
      <c r="AR251" s="158">
        <v>700</v>
      </c>
      <c r="AS251" s="229">
        <f t="shared" si="59"/>
        <v>0.54437086092715237</v>
      </c>
      <c r="AT251" s="230">
        <v>1510</v>
      </c>
      <c r="AU251" s="203">
        <v>19.586374695863746</v>
      </c>
      <c r="AV251" s="204">
        <v>64.96350364963503</v>
      </c>
      <c r="AW251" s="205">
        <v>15.450121654501217</v>
      </c>
      <c r="AX251" s="123">
        <v>2.6515</v>
      </c>
      <c r="AY251" s="281">
        <v>2.2012578616352201</v>
      </c>
      <c r="AZ251" s="282">
        <v>46.226415094339622</v>
      </c>
      <c r="BA251" s="283">
        <f t="shared" si="60"/>
        <v>51.572327044025165</v>
      </c>
      <c r="BB251" s="234">
        <v>63.924050632911388</v>
      </c>
      <c r="BC251" s="20">
        <v>2002</v>
      </c>
      <c r="BD251" s="263" t="s">
        <v>556</v>
      </c>
      <c r="BE251" s="261" t="s">
        <v>556</v>
      </c>
      <c r="BF251" s="259" t="s">
        <v>556</v>
      </c>
      <c r="BG251" s="256">
        <v>66.219839142091146</v>
      </c>
      <c r="BH251" s="254" t="s">
        <v>557</v>
      </c>
      <c r="BI251" s="249">
        <v>0</v>
      </c>
      <c r="BJ251" s="308" t="s">
        <v>556</v>
      </c>
      <c r="BK251" s="307" t="s">
        <v>556</v>
      </c>
      <c r="BL251" s="319" t="s">
        <v>1728</v>
      </c>
      <c r="BM251" s="320" t="s">
        <v>556</v>
      </c>
      <c r="BN251" s="321" t="s">
        <v>2148</v>
      </c>
      <c r="BO251" s="145" t="s">
        <v>556</v>
      </c>
      <c r="BP251" s="14" t="s">
        <v>556</v>
      </c>
      <c r="BQ251" s="14" t="s">
        <v>557</v>
      </c>
    </row>
    <row r="252" spans="1:70" s="56" customFormat="1" ht="13.95" customHeight="1" x14ac:dyDescent="0.3">
      <c r="A252" s="56" t="s">
        <v>459</v>
      </c>
      <c r="B252" s="57" t="s">
        <v>462</v>
      </c>
      <c r="C252" s="55" t="s">
        <v>267</v>
      </c>
      <c r="D252" s="58">
        <v>1</v>
      </c>
      <c r="E252" s="59"/>
      <c r="F252" s="60" t="s">
        <v>454</v>
      </c>
      <c r="G252" s="61" t="s">
        <v>242</v>
      </c>
      <c r="H252" s="61" t="s">
        <v>242</v>
      </c>
      <c r="I252" s="62" t="s">
        <v>242</v>
      </c>
      <c r="J252" s="63" t="s">
        <v>2149</v>
      </c>
      <c r="K252" s="99" t="s">
        <v>1331</v>
      </c>
      <c r="L252" s="130">
        <v>491810316</v>
      </c>
      <c r="M252" s="109" t="s">
        <v>564</v>
      </c>
      <c r="N252" s="12" t="s">
        <v>1330</v>
      </c>
      <c r="O252" s="100"/>
      <c r="P252" s="131">
        <v>724180090</v>
      </c>
      <c r="Q252" s="67"/>
      <c r="R252" s="68"/>
      <c r="S252" s="99"/>
      <c r="T252" s="65"/>
      <c r="U252" s="170">
        <v>0</v>
      </c>
      <c r="V252" s="48">
        <f t="shared" si="48"/>
        <v>0</v>
      </c>
      <c r="W252" s="171">
        <f t="shared" si="49"/>
        <v>0</v>
      </c>
      <c r="X252" s="69">
        <v>0</v>
      </c>
      <c r="Y252" s="48">
        <f t="shared" si="50"/>
        <v>0</v>
      </c>
      <c r="Z252" s="137">
        <f t="shared" si="51"/>
        <v>0</v>
      </c>
      <c r="AA252" s="69">
        <v>0</v>
      </c>
      <c r="AB252" s="48">
        <f t="shared" si="52"/>
        <v>0</v>
      </c>
      <c r="AC252" s="137">
        <f t="shared" si="53"/>
        <v>0</v>
      </c>
      <c r="AD252" s="70">
        <f t="shared" si="54"/>
        <v>0</v>
      </c>
      <c r="AE252" s="71">
        <f t="shared" si="55"/>
        <v>0</v>
      </c>
      <c r="AF252" s="193">
        <f t="shared" si="56"/>
        <v>0</v>
      </c>
      <c r="AG252" s="185">
        <f t="shared" si="57"/>
        <v>0</v>
      </c>
      <c r="AH252" s="180">
        <f t="shared" si="61"/>
        <v>0</v>
      </c>
      <c r="AI252" s="189">
        <v>344</v>
      </c>
      <c r="AJ252" s="125">
        <v>712.27880000000005</v>
      </c>
      <c r="AK252" s="149">
        <v>128</v>
      </c>
      <c r="AL252" s="221">
        <v>92</v>
      </c>
      <c r="AM252" s="216">
        <v>86.725663716814154</v>
      </c>
      <c r="AN252" s="213">
        <v>3.4013605442176873</v>
      </c>
      <c r="AO252" s="127">
        <v>18.966999999999999</v>
      </c>
      <c r="AP252" s="133">
        <v>17.338999999999999</v>
      </c>
      <c r="AQ252" s="224">
        <f t="shared" si="58"/>
        <v>1.1986062717770034</v>
      </c>
      <c r="AR252" s="158">
        <v>287</v>
      </c>
      <c r="AS252" s="229">
        <f t="shared" si="59"/>
        <v>0.79080459770114941</v>
      </c>
      <c r="AT252" s="230">
        <v>435</v>
      </c>
      <c r="AU252" s="203">
        <v>13.372093023255813</v>
      </c>
      <c r="AV252" s="204">
        <v>64.244186046511629</v>
      </c>
      <c r="AW252" s="205">
        <v>22.38372093023256</v>
      </c>
      <c r="AX252" s="123">
        <v>5.5814000000000004</v>
      </c>
      <c r="AY252" s="281">
        <v>5.1282051282051277</v>
      </c>
      <c r="AZ252" s="282">
        <v>30.76923076923077</v>
      </c>
      <c r="BA252" s="283">
        <f t="shared" si="60"/>
        <v>64.102564102564102</v>
      </c>
      <c r="BB252" s="234">
        <v>54.761904761904766</v>
      </c>
      <c r="BC252" s="20">
        <v>2001</v>
      </c>
      <c r="BD252" s="263" t="s">
        <v>556</v>
      </c>
      <c r="BE252" s="261" t="s">
        <v>556</v>
      </c>
      <c r="BF252" s="260" t="s">
        <v>557</v>
      </c>
      <c r="BG252" s="256">
        <v>11.730205278592376</v>
      </c>
      <c r="BH252" s="248" t="s">
        <v>556</v>
      </c>
      <c r="BI252" s="249">
        <v>73.636363636363626</v>
      </c>
      <c r="BJ252" s="309" t="s">
        <v>557</v>
      </c>
      <c r="BK252" s="307" t="s">
        <v>557</v>
      </c>
      <c r="BL252" s="319" t="s">
        <v>1728</v>
      </c>
      <c r="BM252" s="320" t="s">
        <v>556</v>
      </c>
      <c r="BN252" s="321" t="s">
        <v>1803</v>
      </c>
      <c r="BO252" s="145" t="s">
        <v>557</v>
      </c>
      <c r="BP252" s="14" t="s">
        <v>556</v>
      </c>
      <c r="BQ252" s="14" t="s">
        <v>557</v>
      </c>
    </row>
    <row r="253" spans="1:70" s="72" customFormat="1" ht="13.95" customHeight="1" x14ac:dyDescent="0.3">
      <c r="A253" s="56" t="s">
        <v>459</v>
      </c>
      <c r="B253" s="57" t="s">
        <v>462</v>
      </c>
      <c r="C253" s="55" t="s">
        <v>69</v>
      </c>
      <c r="D253" s="58">
        <v>1</v>
      </c>
      <c r="E253" s="59"/>
      <c r="F253" s="60" t="s">
        <v>452</v>
      </c>
      <c r="G253" s="61" t="s">
        <v>11</v>
      </c>
      <c r="H253" s="61" t="s">
        <v>11</v>
      </c>
      <c r="I253" s="62" t="s">
        <v>11</v>
      </c>
      <c r="J253" s="63" t="s">
        <v>2152</v>
      </c>
      <c r="K253" s="99" t="s">
        <v>916</v>
      </c>
      <c r="L253" s="130">
        <v>495451744</v>
      </c>
      <c r="M253" s="109" t="s">
        <v>564</v>
      </c>
      <c r="N253" s="12" t="s">
        <v>915</v>
      </c>
      <c r="O253" s="100"/>
      <c r="P253" s="131" t="s">
        <v>2151</v>
      </c>
      <c r="Q253" s="67"/>
      <c r="R253" s="68"/>
      <c r="S253" s="99"/>
      <c r="T253" s="65"/>
      <c r="U253" s="170">
        <f>602029+22980</f>
        <v>625009</v>
      </c>
      <c r="V253" s="48">
        <f t="shared" si="48"/>
        <v>2232.1750000000002</v>
      </c>
      <c r="W253" s="171">
        <f t="shared" si="49"/>
        <v>1609.8517386534777</v>
      </c>
      <c r="X253" s="69">
        <v>40000</v>
      </c>
      <c r="Y253" s="48">
        <f t="shared" si="50"/>
        <v>142.85714285714286</v>
      </c>
      <c r="Z253" s="137">
        <f t="shared" si="51"/>
        <v>103.02902765582432</v>
      </c>
      <c r="AA253" s="69">
        <v>200000</v>
      </c>
      <c r="AB253" s="48">
        <f t="shared" si="52"/>
        <v>714.28571428571433</v>
      </c>
      <c r="AC253" s="137">
        <f t="shared" si="53"/>
        <v>515.14513827912162</v>
      </c>
      <c r="AD253" s="70">
        <f t="shared" si="54"/>
        <v>865009</v>
      </c>
      <c r="AE253" s="71">
        <f t="shared" si="55"/>
        <v>3089.3178571428571</v>
      </c>
      <c r="AF253" s="193">
        <f t="shared" si="56"/>
        <v>2228.0259045884236</v>
      </c>
      <c r="AG253" s="185">
        <f t="shared" si="57"/>
        <v>5.7879491468718632E-2</v>
      </c>
      <c r="AH253" s="180">
        <f t="shared" si="61"/>
        <v>0.15350647737355813</v>
      </c>
      <c r="AI253" s="189">
        <v>280</v>
      </c>
      <c r="AJ253" s="125">
        <v>388.24009999999998</v>
      </c>
      <c r="AK253" s="149">
        <v>117</v>
      </c>
      <c r="AL253" s="221">
        <v>81</v>
      </c>
      <c r="AM253" s="216">
        <v>100</v>
      </c>
      <c r="AN253" s="213">
        <v>12.307692307692307</v>
      </c>
      <c r="AO253" s="127">
        <v>2.9889999999999999</v>
      </c>
      <c r="AP253" s="133">
        <v>1.127</v>
      </c>
      <c r="AQ253" s="224">
        <f t="shared" si="58"/>
        <v>1.1382113821138211</v>
      </c>
      <c r="AR253" s="158">
        <v>246</v>
      </c>
      <c r="AS253" s="229">
        <f t="shared" si="59"/>
        <v>0.7</v>
      </c>
      <c r="AT253" s="230">
        <v>400</v>
      </c>
      <c r="AU253" s="203">
        <v>15</v>
      </c>
      <c r="AV253" s="204">
        <v>61.428571428571431</v>
      </c>
      <c r="AW253" s="205">
        <v>23.571428571428569</v>
      </c>
      <c r="AX253" s="123">
        <v>7.4286000000000003</v>
      </c>
      <c r="AY253" s="281">
        <v>1.8518518518518516</v>
      </c>
      <c r="AZ253" s="282">
        <v>39.814814814814817</v>
      </c>
      <c r="BA253" s="283">
        <f t="shared" si="60"/>
        <v>58.333333333333336</v>
      </c>
      <c r="BB253" s="234">
        <v>94.827586206896555</v>
      </c>
      <c r="BC253" s="20">
        <v>2015</v>
      </c>
      <c r="BD253" s="263" t="s">
        <v>556</v>
      </c>
      <c r="BE253" s="261" t="s">
        <v>556</v>
      </c>
      <c r="BF253" s="259" t="s">
        <v>556</v>
      </c>
      <c r="BG253" s="256">
        <v>17.175572519083971</v>
      </c>
      <c r="BH253" s="248" t="s">
        <v>556</v>
      </c>
      <c r="BI253" s="249">
        <v>76.806083650190118</v>
      </c>
      <c r="BJ253" s="309" t="s">
        <v>557</v>
      </c>
      <c r="BK253" s="307" t="s">
        <v>557</v>
      </c>
      <c r="BL253" s="319" t="s">
        <v>1728</v>
      </c>
      <c r="BM253" s="320" t="s">
        <v>556</v>
      </c>
      <c r="BN253" s="321" t="s">
        <v>1838</v>
      </c>
      <c r="BO253" s="145" t="s">
        <v>557</v>
      </c>
      <c r="BP253" s="14" t="s">
        <v>557</v>
      </c>
      <c r="BQ253" s="14" t="s">
        <v>557</v>
      </c>
      <c r="BR253" s="3"/>
    </row>
    <row r="254" spans="1:70" s="56" customFormat="1" ht="13.95" customHeight="1" x14ac:dyDescent="0.3">
      <c r="A254" s="56" t="s">
        <v>459</v>
      </c>
      <c r="B254" s="57" t="s">
        <v>462</v>
      </c>
      <c r="C254" s="55" t="s">
        <v>345</v>
      </c>
      <c r="D254" s="58">
        <v>2</v>
      </c>
      <c r="E254" s="59" t="s">
        <v>700</v>
      </c>
      <c r="F254" s="60" t="s">
        <v>455</v>
      </c>
      <c r="G254" s="61" t="s">
        <v>304</v>
      </c>
      <c r="H254" s="61" t="s">
        <v>38</v>
      </c>
      <c r="I254" s="62" t="s">
        <v>38</v>
      </c>
      <c r="J254" s="63" t="s">
        <v>2154</v>
      </c>
      <c r="K254" s="99" t="s">
        <v>1470</v>
      </c>
      <c r="L254" s="130">
        <v>494627183</v>
      </c>
      <c r="M254" s="109" t="s">
        <v>537</v>
      </c>
      <c r="N254" s="12" t="s">
        <v>1469</v>
      </c>
      <c r="O254" s="100"/>
      <c r="P254" s="131">
        <v>739533235</v>
      </c>
      <c r="Q254" s="84"/>
      <c r="S254" s="105"/>
      <c r="T254" s="112"/>
      <c r="U254" s="170">
        <v>579000</v>
      </c>
      <c r="V254" s="48">
        <f t="shared" si="48"/>
        <v>2325.3012048192772</v>
      </c>
      <c r="W254" s="171">
        <f t="shared" si="49"/>
        <v>1024.0693438209355</v>
      </c>
      <c r="X254" s="69">
        <v>3600</v>
      </c>
      <c r="Y254" s="48">
        <f t="shared" si="50"/>
        <v>14.457831325301205</v>
      </c>
      <c r="Z254" s="137">
        <f t="shared" si="51"/>
        <v>6.3672705315291322</v>
      </c>
      <c r="AA254" s="69">
        <v>0</v>
      </c>
      <c r="AB254" s="48">
        <f t="shared" si="52"/>
        <v>0</v>
      </c>
      <c r="AC254" s="137">
        <f t="shared" si="53"/>
        <v>0</v>
      </c>
      <c r="AD254" s="70">
        <f t="shared" si="54"/>
        <v>582600</v>
      </c>
      <c r="AE254" s="71">
        <f t="shared" si="55"/>
        <v>2339.7590361445782</v>
      </c>
      <c r="AF254" s="193">
        <f t="shared" si="56"/>
        <v>1030.4366143524646</v>
      </c>
      <c r="AG254" s="185">
        <f t="shared" si="57"/>
        <v>5.4910461828463715E-2</v>
      </c>
      <c r="AH254" s="180">
        <f t="shared" si="61"/>
        <v>0.48348547717842322</v>
      </c>
      <c r="AI254" s="189">
        <v>249</v>
      </c>
      <c r="AJ254" s="125">
        <v>565.39139999999998</v>
      </c>
      <c r="AK254" s="149">
        <v>123</v>
      </c>
      <c r="AL254" s="221">
        <v>76</v>
      </c>
      <c r="AM254" s="216">
        <v>87.096774193548384</v>
      </c>
      <c r="AN254" s="213">
        <v>7.2</v>
      </c>
      <c r="AO254" s="127">
        <v>2.1219999999999999</v>
      </c>
      <c r="AP254" s="133">
        <v>0.24099999999999999</v>
      </c>
      <c r="AQ254" s="224">
        <f t="shared" si="58"/>
        <v>0.95402298850574707</v>
      </c>
      <c r="AR254" s="158">
        <v>261</v>
      </c>
      <c r="AS254" s="229">
        <f t="shared" si="59"/>
        <v>0.59712230215827333</v>
      </c>
      <c r="AT254" s="230">
        <v>417</v>
      </c>
      <c r="AU254" s="203">
        <v>16.867469879518072</v>
      </c>
      <c r="AV254" s="204">
        <v>65.461847389558244</v>
      </c>
      <c r="AW254" s="205">
        <v>17.670682730923694</v>
      </c>
      <c r="AX254" s="123">
        <v>2.9411999999999998</v>
      </c>
      <c r="AY254" s="281">
        <v>8.9285714285714288</v>
      </c>
      <c r="AZ254" s="282">
        <v>40.178571428571431</v>
      </c>
      <c r="BA254" s="283">
        <f t="shared" si="60"/>
        <v>50.892857142857139</v>
      </c>
      <c r="BB254" s="234">
        <v>98.4375</v>
      </c>
      <c r="BC254" s="20">
        <v>2002</v>
      </c>
      <c r="BD254" s="263" t="s">
        <v>556</v>
      </c>
      <c r="BE254" s="261" t="s">
        <v>556</v>
      </c>
      <c r="BF254" s="260" t="s">
        <v>557</v>
      </c>
      <c r="BG254" s="256">
        <v>23.75</v>
      </c>
      <c r="BH254" s="248" t="s">
        <v>556</v>
      </c>
      <c r="BI254" s="249">
        <v>28.448275862068968</v>
      </c>
      <c r="BJ254" s="309" t="s">
        <v>557</v>
      </c>
      <c r="BK254" s="307" t="s">
        <v>557</v>
      </c>
      <c r="BL254" s="319" t="s">
        <v>1728</v>
      </c>
      <c r="BM254" s="320" t="s">
        <v>556</v>
      </c>
      <c r="BN254" s="321" t="s">
        <v>1803</v>
      </c>
      <c r="BO254" s="145" t="s">
        <v>557</v>
      </c>
      <c r="BP254" s="14" t="s">
        <v>557</v>
      </c>
      <c r="BQ254" s="14" t="s">
        <v>556</v>
      </c>
    </row>
    <row r="255" spans="1:70" s="56" customFormat="1" ht="13.95" customHeight="1" x14ac:dyDescent="0.3">
      <c r="A255" s="56" t="s">
        <v>459</v>
      </c>
      <c r="B255" s="57" t="s">
        <v>462</v>
      </c>
      <c r="C255" s="55" t="s">
        <v>170</v>
      </c>
      <c r="D255" s="58">
        <v>1</v>
      </c>
      <c r="E255" s="59"/>
      <c r="F255" s="60" t="s">
        <v>453</v>
      </c>
      <c r="G255" s="61" t="s">
        <v>113</v>
      </c>
      <c r="H255" s="61" t="s">
        <v>159</v>
      </c>
      <c r="I255" s="62" t="s">
        <v>159</v>
      </c>
      <c r="J255" s="63" t="s">
        <v>2155</v>
      </c>
      <c r="K255" s="99" t="s">
        <v>1119</v>
      </c>
      <c r="L255" s="130">
        <v>493572111</v>
      </c>
      <c r="M255" s="109" t="s">
        <v>537</v>
      </c>
      <c r="N255" s="12" t="s">
        <v>1118</v>
      </c>
      <c r="O255" s="100"/>
      <c r="P255" s="131">
        <v>724180460</v>
      </c>
      <c r="Q255" s="67"/>
      <c r="R255" s="68"/>
      <c r="S255" s="99"/>
      <c r="T255" s="65"/>
      <c r="U255" s="170">
        <v>711203</v>
      </c>
      <c r="V255" s="48">
        <f t="shared" si="48"/>
        <v>10941.584615384616</v>
      </c>
      <c r="W255" s="171">
        <f t="shared" si="49"/>
        <v>1708.0459383645864</v>
      </c>
      <c r="X255" s="69">
        <v>0</v>
      </c>
      <c r="Y255" s="48">
        <f t="shared" si="50"/>
        <v>0</v>
      </c>
      <c r="Z255" s="137">
        <f t="shared" si="51"/>
        <v>0</v>
      </c>
      <c r="AA255" s="69">
        <v>0</v>
      </c>
      <c r="AB255" s="48">
        <f t="shared" si="52"/>
        <v>0</v>
      </c>
      <c r="AC255" s="137">
        <f t="shared" si="53"/>
        <v>0</v>
      </c>
      <c r="AD255" s="70">
        <f t="shared" si="54"/>
        <v>711203</v>
      </c>
      <c r="AE255" s="71">
        <f t="shared" si="55"/>
        <v>10941.584615384616</v>
      </c>
      <c r="AF255" s="193">
        <f t="shared" si="56"/>
        <v>1708.0459383645864</v>
      </c>
      <c r="AG255" s="246">
        <f t="shared" si="57"/>
        <v>0.12013564189189188</v>
      </c>
      <c r="AH255" s="180" t="s">
        <v>457</v>
      </c>
      <c r="AI255" s="189">
        <v>65</v>
      </c>
      <c r="AJ255" s="125">
        <v>416.38400000000001</v>
      </c>
      <c r="AK255" s="149">
        <v>76</v>
      </c>
      <c r="AL255" s="221">
        <v>21</v>
      </c>
      <c r="AM255" s="216">
        <v>100</v>
      </c>
      <c r="AN255" s="213">
        <v>5.7692307692307692</v>
      </c>
      <c r="AO255" s="127">
        <v>1.1839999999999999</v>
      </c>
      <c r="AP255" s="133">
        <v>0</v>
      </c>
      <c r="AQ255" s="224">
        <f t="shared" si="58"/>
        <v>1.0833333333333333</v>
      </c>
      <c r="AR255" s="158">
        <v>60</v>
      </c>
      <c r="AS255" s="229">
        <f t="shared" si="59"/>
        <v>0.31100478468899523</v>
      </c>
      <c r="AT255" s="230">
        <v>209</v>
      </c>
      <c r="AU255" s="203">
        <v>16.923076923076923</v>
      </c>
      <c r="AV255" s="204">
        <v>67.692307692307693</v>
      </c>
      <c r="AW255" s="205">
        <v>15.384615384615385</v>
      </c>
      <c r="AX255" s="123">
        <v>2.2222</v>
      </c>
      <c r="AY255" s="281">
        <v>6.0606060606060606</v>
      </c>
      <c r="AZ255" s="282">
        <v>33.333333333333329</v>
      </c>
      <c r="BA255" s="283">
        <f t="shared" si="60"/>
        <v>60.606060606060609</v>
      </c>
      <c r="BB255" s="234">
        <v>100</v>
      </c>
      <c r="BC255" s="120" t="s">
        <v>1811</v>
      </c>
      <c r="BD255" s="264" t="s">
        <v>557</v>
      </c>
      <c r="BE255" s="261" t="s">
        <v>556</v>
      </c>
      <c r="BF255" s="260" t="s">
        <v>557</v>
      </c>
      <c r="BG255" s="257">
        <v>0</v>
      </c>
      <c r="BH255" s="254" t="s">
        <v>557</v>
      </c>
      <c r="BI255" s="249">
        <v>0</v>
      </c>
      <c r="BJ255" s="309" t="s">
        <v>557</v>
      </c>
      <c r="BK255" s="307" t="s">
        <v>557</v>
      </c>
      <c r="BL255" s="319" t="s">
        <v>557</v>
      </c>
      <c r="BM255" s="320" t="s">
        <v>557</v>
      </c>
      <c r="BN255" s="321" t="s">
        <v>557</v>
      </c>
      <c r="BO255" s="145" t="s">
        <v>557</v>
      </c>
      <c r="BP255" s="14" t="s">
        <v>557</v>
      </c>
      <c r="BQ255" s="14" t="s">
        <v>557</v>
      </c>
    </row>
    <row r="256" spans="1:70" s="72" customFormat="1" ht="13.95" customHeight="1" x14ac:dyDescent="0.3">
      <c r="A256" s="56" t="s">
        <v>459</v>
      </c>
      <c r="B256" s="57" t="s">
        <v>462</v>
      </c>
      <c r="C256" s="55" t="s">
        <v>171</v>
      </c>
      <c r="D256" s="58">
        <v>1</v>
      </c>
      <c r="E256" s="59"/>
      <c r="F256" s="60" t="s">
        <v>453</v>
      </c>
      <c r="G256" s="61" t="s">
        <v>113</v>
      </c>
      <c r="H256" s="61" t="s">
        <v>113</v>
      </c>
      <c r="I256" s="62" t="s">
        <v>113</v>
      </c>
      <c r="J256" s="63" t="s">
        <v>2157</v>
      </c>
      <c r="K256" s="99" t="s">
        <v>1121</v>
      </c>
      <c r="L256" s="130"/>
      <c r="M256" s="109" t="s">
        <v>537</v>
      </c>
      <c r="N256" s="12" t="s">
        <v>1120</v>
      </c>
      <c r="O256" s="100"/>
      <c r="P256" s="131">
        <v>724180463</v>
      </c>
      <c r="Q256" s="67"/>
      <c r="R256" s="68"/>
      <c r="S256" s="99"/>
      <c r="T256" s="65"/>
      <c r="U256" s="170">
        <v>400000</v>
      </c>
      <c r="V256" s="48">
        <f t="shared" si="48"/>
        <v>4819.2771084337346</v>
      </c>
      <c r="W256" s="171">
        <f t="shared" si="49"/>
        <v>2881.3108811985098</v>
      </c>
      <c r="X256" s="69">
        <v>0</v>
      </c>
      <c r="Y256" s="48">
        <f t="shared" si="50"/>
        <v>0</v>
      </c>
      <c r="Z256" s="137">
        <f t="shared" si="51"/>
        <v>0</v>
      </c>
      <c r="AA256" s="69">
        <v>0</v>
      </c>
      <c r="AB256" s="48">
        <f t="shared" si="52"/>
        <v>0</v>
      </c>
      <c r="AC256" s="137">
        <f t="shared" si="53"/>
        <v>0</v>
      </c>
      <c r="AD256" s="70">
        <f t="shared" si="54"/>
        <v>400000</v>
      </c>
      <c r="AE256" s="71">
        <f t="shared" si="55"/>
        <v>4819.2771084337346</v>
      </c>
      <c r="AF256" s="193">
        <f t="shared" si="56"/>
        <v>2881.3108811985098</v>
      </c>
      <c r="AG256" s="185">
        <f t="shared" si="57"/>
        <v>0.18223234624145787</v>
      </c>
      <c r="AH256" s="180" t="s">
        <v>457</v>
      </c>
      <c r="AI256" s="189">
        <v>83</v>
      </c>
      <c r="AJ256" s="125">
        <v>138.82570000000001</v>
      </c>
      <c r="AK256" s="149">
        <v>49</v>
      </c>
      <c r="AL256" s="221">
        <v>25</v>
      </c>
      <c r="AM256" s="216">
        <v>100</v>
      </c>
      <c r="AN256" s="213">
        <v>2.1276595744680851</v>
      </c>
      <c r="AO256" s="127">
        <v>0.439</v>
      </c>
      <c r="AP256" s="133">
        <v>0</v>
      </c>
      <c r="AQ256" s="224">
        <f t="shared" si="58"/>
        <v>1.3387096774193548</v>
      </c>
      <c r="AR256" s="158">
        <v>62</v>
      </c>
      <c r="AS256" s="229">
        <f t="shared" si="59"/>
        <v>0.69747899159663862</v>
      </c>
      <c r="AT256" s="230">
        <v>119</v>
      </c>
      <c r="AU256" s="203">
        <v>24.096385542168676</v>
      </c>
      <c r="AV256" s="204">
        <v>66.265060240963848</v>
      </c>
      <c r="AW256" s="205">
        <v>9.6385542168674707</v>
      </c>
      <c r="AX256" s="123">
        <v>0</v>
      </c>
      <c r="AY256" s="281">
        <v>0</v>
      </c>
      <c r="AZ256" s="282">
        <v>48.148148148148145</v>
      </c>
      <c r="BA256" s="283">
        <f t="shared" si="60"/>
        <v>51.851851851851855</v>
      </c>
      <c r="BB256" s="234">
        <v>91.666666666666671</v>
      </c>
      <c r="BC256" s="20">
        <v>1998</v>
      </c>
      <c r="BD256" s="264" t="s">
        <v>557</v>
      </c>
      <c r="BE256" s="262" t="s">
        <v>557</v>
      </c>
      <c r="BF256" s="260" t="s">
        <v>557</v>
      </c>
      <c r="BG256" s="256">
        <v>0</v>
      </c>
      <c r="BH256" s="254" t="s">
        <v>557</v>
      </c>
      <c r="BI256" s="249">
        <v>0</v>
      </c>
      <c r="BJ256" s="309" t="s">
        <v>557</v>
      </c>
      <c r="BK256" s="307" t="s">
        <v>557</v>
      </c>
      <c r="BL256" s="319" t="s">
        <v>557</v>
      </c>
      <c r="BM256" s="320" t="s">
        <v>557</v>
      </c>
      <c r="BN256" s="321" t="s">
        <v>557</v>
      </c>
      <c r="BO256" s="145" t="s">
        <v>557</v>
      </c>
      <c r="BP256" s="14" t="s">
        <v>557</v>
      </c>
      <c r="BQ256" s="14" t="s">
        <v>557</v>
      </c>
      <c r="BR256" s="56"/>
    </row>
    <row r="257" spans="1:70" s="56" customFormat="1" ht="13.95" customHeight="1" x14ac:dyDescent="0.3">
      <c r="A257" s="56" t="s">
        <v>459</v>
      </c>
      <c r="B257" s="57" t="s">
        <v>462</v>
      </c>
      <c r="C257" s="55" t="s">
        <v>346</v>
      </c>
      <c r="D257" s="58">
        <v>2</v>
      </c>
      <c r="E257" s="59" t="s">
        <v>701</v>
      </c>
      <c r="F257" s="60" t="s">
        <v>455</v>
      </c>
      <c r="G257" s="61" t="s">
        <v>304</v>
      </c>
      <c r="H257" s="61" t="s">
        <v>304</v>
      </c>
      <c r="I257" s="62" t="s">
        <v>304</v>
      </c>
      <c r="J257" s="63" t="s">
        <v>2156</v>
      </c>
      <c r="K257" s="99" t="s">
        <v>1472</v>
      </c>
      <c r="L257" s="130"/>
      <c r="M257" s="109" t="s">
        <v>537</v>
      </c>
      <c r="N257" s="12" t="s">
        <v>1471</v>
      </c>
      <c r="O257" s="100" t="s">
        <v>2158</v>
      </c>
      <c r="P257" s="131">
        <v>724181643</v>
      </c>
      <c r="Q257" s="84"/>
      <c r="S257" s="105" t="s">
        <v>457</v>
      </c>
      <c r="T257" s="112"/>
      <c r="U257" s="170">
        <v>144892</v>
      </c>
      <c r="V257" s="48">
        <f t="shared" si="48"/>
        <v>297.51950718685833</v>
      </c>
      <c r="W257" s="171">
        <f t="shared" si="49"/>
        <v>137.90445044802385</v>
      </c>
      <c r="X257" s="69">
        <f>6020+29000</f>
        <v>35020</v>
      </c>
      <c r="Y257" s="48">
        <f t="shared" si="50"/>
        <v>71.909650924024646</v>
      </c>
      <c r="Z257" s="137">
        <f t="shared" si="51"/>
        <v>33.331128390040824</v>
      </c>
      <c r="AA257" s="69">
        <v>0</v>
      </c>
      <c r="AB257" s="48">
        <f t="shared" si="52"/>
        <v>0</v>
      </c>
      <c r="AC257" s="137">
        <f t="shared" si="53"/>
        <v>0</v>
      </c>
      <c r="AD257" s="70">
        <f t="shared" si="54"/>
        <v>179912</v>
      </c>
      <c r="AE257" s="71">
        <f t="shared" si="55"/>
        <v>369.42915811088295</v>
      </c>
      <c r="AF257" s="193">
        <f t="shared" si="56"/>
        <v>171.2355788380647</v>
      </c>
      <c r="AG257" s="185">
        <f t="shared" si="57"/>
        <v>7.2094570226407537E-3</v>
      </c>
      <c r="AH257" s="180">
        <f t="shared" ref="AH257:AH295" si="62">IF(AD257=0,0,1/(AP257*5000000/AD257))</f>
        <v>0.36345858585858587</v>
      </c>
      <c r="AI257" s="189">
        <v>487</v>
      </c>
      <c r="AJ257" s="125">
        <v>1050.6695</v>
      </c>
      <c r="AK257" s="149">
        <v>253</v>
      </c>
      <c r="AL257" s="221">
        <v>137</v>
      </c>
      <c r="AM257" s="216">
        <v>91.208791208791212</v>
      </c>
      <c r="AN257" s="213">
        <v>17.441860465116275</v>
      </c>
      <c r="AO257" s="127">
        <v>4.9909999999999997</v>
      </c>
      <c r="AP257" s="133">
        <v>9.9000000000000005E-2</v>
      </c>
      <c r="AQ257" s="224">
        <f t="shared" si="58"/>
        <v>0.97595190380761521</v>
      </c>
      <c r="AR257" s="158">
        <v>499</v>
      </c>
      <c r="AS257" s="229">
        <f t="shared" si="59"/>
        <v>0.58887545344619108</v>
      </c>
      <c r="AT257" s="230">
        <v>827</v>
      </c>
      <c r="AU257" s="203">
        <v>15.605749486652979</v>
      </c>
      <c r="AV257" s="204">
        <v>65.708418891170425</v>
      </c>
      <c r="AW257" s="205">
        <v>18.68583162217659</v>
      </c>
      <c r="AX257" s="123">
        <v>1.5431999999999999</v>
      </c>
      <c r="AY257" s="281">
        <v>12.820512820512819</v>
      </c>
      <c r="AZ257" s="282">
        <v>41.452991452991455</v>
      </c>
      <c r="BA257" s="283">
        <f t="shared" si="60"/>
        <v>45.726495726495727</v>
      </c>
      <c r="BB257" s="234">
        <v>72.65625</v>
      </c>
      <c r="BC257" s="20">
        <v>1997</v>
      </c>
      <c r="BD257" s="263" t="s">
        <v>556</v>
      </c>
      <c r="BE257" s="261" t="s">
        <v>556</v>
      </c>
      <c r="BF257" s="260" t="s">
        <v>557</v>
      </c>
      <c r="BG257" s="256">
        <v>8.6497890295358655</v>
      </c>
      <c r="BH257" s="254" t="s">
        <v>557</v>
      </c>
      <c r="BI257" s="249">
        <v>0</v>
      </c>
      <c r="BJ257" s="308" t="s">
        <v>556</v>
      </c>
      <c r="BK257" s="307" t="s">
        <v>750</v>
      </c>
      <c r="BL257" s="319" t="s">
        <v>1728</v>
      </c>
      <c r="BM257" s="320" t="s">
        <v>556</v>
      </c>
      <c r="BN257" s="321" t="s">
        <v>2159</v>
      </c>
      <c r="BO257" s="145" t="s">
        <v>556</v>
      </c>
      <c r="BP257" s="14" t="s">
        <v>556</v>
      </c>
      <c r="BQ257" s="14" t="s">
        <v>557</v>
      </c>
    </row>
    <row r="258" spans="1:70" s="72" customFormat="1" ht="13.95" customHeight="1" x14ac:dyDescent="0.3">
      <c r="A258" s="56" t="s">
        <v>459</v>
      </c>
      <c r="B258" s="57" t="s">
        <v>462</v>
      </c>
      <c r="C258" s="55" t="s">
        <v>70</v>
      </c>
      <c r="D258" s="58">
        <v>1</v>
      </c>
      <c r="E258" s="97" t="s">
        <v>612</v>
      </c>
      <c r="F258" s="60" t="s">
        <v>452</v>
      </c>
      <c r="G258" s="61" t="s">
        <v>7</v>
      </c>
      <c r="H258" s="61" t="s">
        <v>7</v>
      </c>
      <c r="I258" s="62" t="s">
        <v>7</v>
      </c>
      <c r="J258" s="63" t="s">
        <v>2160</v>
      </c>
      <c r="K258" s="99" t="s">
        <v>918</v>
      </c>
      <c r="L258" s="130">
        <v>495496521</v>
      </c>
      <c r="M258" s="109" t="s">
        <v>537</v>
      </c>
      <c r="N258" s="12" t="s">
        <v>917</v>
      </c>
      <c r="O258" s="100"/>
      <c r="P258" s="131">
        <v>606629305</v>
      </c>
      <c r="Q258" s="67"/>
      <c r="R258" s="68"/>
      <c r="S258" s="99"/>
      <c r="T258" s="65"/>
      <c r="U258" s="170">
        <v>235000</v>
      </c>
      <c r="V258" s="48">
        <f t="shared" si="48"/>
        <v>767.97385620915031</v>
      </c>
      <c r="W258" s="171">
        <f t="shared" si="49"/>
        <v>266.5698696643488</v>
      </c>
      <c r="X258" s="69">
        <v>116934</v>
      </c>
      <c r="Y258" s="48">
        <f t="shared" si="50"/>
        <v>382.13725490196077</v>
      </c>
      <c r="Z258" s="137">
        <f t="shared" si="51"/>
        <v>132.64289846523815</v>
      </c>
      <c r="AA258" s="69">
        <v>0</v>
      </c>
      <c r="AB258" s="48">
        <f t="shared" si="52"/>
        <v>0</v>
      </c>
      <c r="AC258" s="137">
        <f t="shared" si="53"/>
        <v>0</v>
      </c>
      <c r="AD258" s="70">
        <f t="shared" si="54"/>
        <v>351934</v>
      </c>
      <c r="AE258" s="71">
        <f t="shared" si="55"/>
        <v>1150.1111111111111</v>
      </c>
      <c r="AF258" s="193">
        <f t="shared" si="56"/>
        <v>399.21276812958695</v>
      </c>
      <c r="AG258" s="185">
        <f t="shared" si="57"/>
        <v>2.0867714201008008E-2</v>
      </c>
      <c r="AH258" s="180">
        <f t="shared" si="62"/>
        <v>0.11950220713073005</v>
      </c>
      <c r="AI258" s="189">
        <v>306</v>
      </c>
      <c r="AJ258" s="125">
        <v>881.57</v>
      </c>
      <c r="AK258" s="149">
        <v>151</v>
      </c>
      <c r="AL258" s="221">
        <v>95</v>
      </c>
      <c r="AM258" s="216">
        <v>91.17647058823529</v>
      </c>
      <c r="AN258" s="213">
        <v>28.75</v>
      </c>
      <c r="AO258" s="127">
        <v>3.3730000000000002</v>
      </c>
      <c r="AP258" s="133">
        <v>0.58899999999999997</v>
      </c>
      <c r="AQ258" s="224">
        <f t="shared" si="58"/>
        <v>0.91343283582089552</v>
      </c>
      <c r="AR258" s="158">
        <v>335</v>
      </c>
      <c r="AS258" s="229">
        <f t="shared" si="59"/>
        <v>0.46293494704992438</v>
      </c>
      <c r="AT258" s="230">
        <v>661</v>
      </c>
      <c r="AU258" s="203">
        <v>10.784313725490197</v>
      </c>
      <c r="AV258" s="204">
        <v>67.320261437908499</v>
      </c>
      <c r="AW258" s="205">
        <v>21.895424836601308</v>
      </c>
      <c r="AX258" s="123">
        <v>2.8708</v>
      </c>
      <c r="AY258" s="281">
        <v>8</v>
      </c>
      <c r="AZ258" s="282">
        <v>42.4</v>
      </c>
      <c r="BA258" s="283">
        <f t="shared" si="60"/>
        <v>49.6</v>
      </c>
      <c r="BB258" s="234">
        <v>89.583333333333343</v>
      </c>
      <c r="BC258" s="20">
        <v>2005</v>
      </c>
      <c r="BD258" s="263" t="s">
        <v>556</v>
      </c>
      <c r="BE258" s="261" t="s">
        <v>556</v>
      </c>
      <c r="BF258" s="260" t="s">
        <v>557</v>
      </c>
      <c r="BG258" s="256">
        <v>17.013888888888889</v>
      </c>
      <c r="BH258" s="248" t="s">
        <v>556</v>
      </c>
      <c r="BI258" s="249">
        <v>68.817204301075279</v>
      </c>
      <c r="BJ258" s="308" t="s">
        <v>556</v>
      </c>
      <c r="BK258" s="307" t="s">
        <v>557</v>
      </c>
      <c r="BL258" s="319" t="s">
        <v>1728</v>
      </c>
      <c r="BM258" s="320" t="s">
        <v>556</v>
      </c>
      <c r="BN258" s="321" t="s">
        <v>1838</v>
      </c>
      <c r="BO258" s="145" t="s">
        <v>556</v>
      </c>
      <c r="BP258" s="14" t="s">
        <v>556</v>
      </c>
      <c r="BQ258" s="14" t="s">
        <v>556</v>
      </c>
      <c r="BR258" s="56"/>
    </row>
    <row r="259" spans="1:70" s="72" customFormat="1" ht="13.95" customHeight="1" x14ac:dyDescent="0.3">
      <c r="A259" s="56" t="s">
        <v>459</v>
      </c>
      <c r="B259" s="57" t="s">
        <v>462</v>
      </c>
      <c r="C259" s="55" t="s">
        <v>72</v>
      </c>
      <c r="D259" s="58">
        <v>2</v>
      </c>
      <c r="E259" s="59" t="s">
        <v>484</v>
      </c>
      <c r="F259" s="60" t="s">
        <v>452</v>
      </c>
      <c r="G259" s="61" t="s">
        <v>11</v>
      </c>
      <c r="H259" s="61" t="s">
        <v>524</v>
      </c>
      <c r="I259" s="62" t="s">
        <v>524</v>
      </c>
      <c r="J259" s="63" t="s">
        <v>2153</v>
      </c>
      <c r="K259" s="99" t="s">
        <v>919</v>
      </c>
      <c r="L259" s="130">
        <v>495486075</v>
      </c>
      <c r="M259" s="109" t="s">
        <v>564</v>
      </c>
      <c r="N259" s="12" t="s">
        <v>920</v>
      </c>
      <c r="O259" s="100"/>
      <c r="P259" s="131">
        <v>777640504</v>
      </c>
      <c r="Q259" s="67"/>
      <c r="R259" s="68"/>
      <c r="S259" s="99"/>
      <c r="T259" s="65"/>
      <c r="U259" s="170">
        <v>0</v>
      </c>
      <c r="V259" s="48">
        <f t="shared" si="48"/>
        <v>0</v>
      </c>
      <c r="W259" s="171">
        <f t="shared" si="49"/>
        <v>0</v>
      </c>
      <c r="X259" s="69">
        <v>39600</v>
      </c>
      <c r="Y259" s="48">
        <f t="shared" si="50"/>
        <v>112.5</v>
      </c>
      <c r="Z259" s="137">
        <f t="shared" si="51"/>
        <v>61.899266446799224</v>
      </c>
      <c r="AA259" s="69">
        <v>0</v>
      </c>
      <c r="AB259" s="48">
        <f t="shared" si="52"/>
        <v>0</v>
      </c>
      <c r="AC259" s="137">
        <f t="shared" si="53"/>
        <v>0</v>
      </c>
      <c r="AD259" s="70">
        <f t="shared" si="54"/>
        <v>39600</v>
      </c>
      <c r="AE259" s="71">
        <f t="shared" si="55"/>
        <v>112.5</v>
      </c>
      <c r="AF259" s="193">
        <f t="shared" si="56"/>
        <v>61.899266446799224</v>
      </c>
      <c r="AG259" s="185">
        <f t="shared" si="57"/>
        <v>3.1058823529411762E-3</v>
      </c>
      <c r="AH259" s="180">
        <f t="shared" si="62"/>
        <v>2.5063291139240509E-2</v>
      </c>
      <c r="AI259" s="189">
        <v>352</v>
      </c>
      <c r="AJ259" s="125">
        <v>639.7491</v>
      </c>
      <c r="AK259" s="149">
        <v>165</v>
      </c>
      <c r="AL259" s="221">
        <v>97</v>
      </c>
      <c r="AM259" s="216">
        <v>90.517241379310349</v>
      </c>
      <c r="AN259" s="213">
        <v>12.883435582822086</v>
      </c>
      <c r="AO259" s="127">
        <v>2.5499999999999998</v>
      </c>
      <c r="AP259" s="133">
        <v>0.316</v>
      </c>
      <c r="AQ259" s="224">
        <f t="shared" si="58"/>
        <v>1.2438162544169611</v>
      </c>
      <c r="AR259" s="158">
        <v>283</v>
      </c>
      <c r="AS259" s="229">
        <f t="shared" si="59"/>
        <v>0.65549348230912474</v>
      </c>
      <c r="AT259" s="230">
        <v>537</v>
      </c>
      <c r="AU259" s="203">
        <v>21.022727272727273</v>
      </c>
      <c r="AV259" s="204">
        <v>63.068181818181813</v>
      </c>
      <c r="AW259" s="205">
        <v>15.909090909090908</v>
      </c>
      <c r="AX259" s="123">
        <v>9.7674000000000003</v>
      </c>
      <c r="AY259" s="281">
        <v>4.918032786885246</v>
      </c>
      <c r="AZ259" s="282">
        <v>36.065573770491802</v>
      </c>
      <c r="BA259" s="283">
        <f t="shared" si="60"/>
        <v>59.016393442622949</v>
      </c>
      <c r="BB259" s="234">
        <v>90.384615384615387</v>
      </c>
      <c r="BC259" s="20">
        <v>2008</v>
      </c>
      <c r="BD259" s="263" t="s">
        <v>556</v>
      </c>
      <c r="BE259" s="261" t="s">
        <v>556</v>
      </c>
      <c r="BF259" s="260" t="s">
        <v>557</v>
      </c>
      <c r="BG259" s="256">
        <v>23.666666666666668</v>
      </c>
      <c r="BH259" s="248" t="s">
        <v>556</v>
      </c>
      <c r="BI259" s="249">
        <v>46.83098591549296</v>
      </c>
      <c r="BJ259" s="309" t="s">
        <v>557</v>
      </c>
      <c r="BK259" s="307" t="s">
        <v>557</v>
      </c>
      <c r="BL259" s="319" t="s">
        <v>1728</v>
      </c>
      <c r="BM259" s="320" t="s">
        <v>556</v>
      </c>
      <c r="BN259" s="321" t="s">
        <v>1838</v>
      </c>
      <c r="BO259" s="145" t="s">
        <v>557</v>
      </c>
      <c r="BP259" s="14" t="s">
        <v>557</v>
      </c>
      <c r="BQ259" s="14" t="s">
        <v>557</v>
      </c>
      <c r="BR259" s="56"/>
    </row>
    <row r="260" spans="1:70" s="72" customFormat="1" ht="13.95" customHeight="1" x14ac:dyDescent="0.3">
      <c r="A260" s="56" t="s">
        <v>459</v>
      </c>
      <c r="B260" s="57" t="s">
        <v>462</v>
      </c>
      <c r="C260" s="55" t="s">
        <v>72</v>
      </c>
      <c r="D260" s="58">
        <v>2</v>
      </c>
      <c r="E260" s="59" t="s">
        <v>702</v>
      </c>
      <c r="F260" s="60" t="s">
        <v>455</v>
      </c>
      <c r="G260" s="61" t="s">
        <v>529</v>
      </c>
      <c r="H260" s="61" t="s">
        <v>529</v>
      </c>
      <c r="I260" s="62" t="s">
        <v>529</v>
      </c>
      <c r="J260" s="63" t="s">
        <v>2150</v>
      </c>
      <c r="K260" s="99" t="s">
        <v>1474</v>
      </c>
      <c r="L260" s="130">
        <v>494384423</v>
      </c>
      <c r="M260" s="109" t="s">
        <v>564</v>
      </c>
      <c r="N260" s="12" t="s">
        <v>1473</v>
      </c>
      <c r="O260" s="100"/>
      <c r="P260" s="131"/>
      <c r="Q260" s="82"/>
      <c r="S260" s="115"/>
      <c r="T260" s="112"/>
      <c r="U260" s="170">
        <v>0</v>
      </c>
      <c r="V260" s="48">
        <f t="shared" si="48"/>
        <v>0</v>
      </c>
      <c r="W260" s="171">
        <f t="shared" si="49"/>
        <v>0</v>
      </c>
      <c r="X260" s="69">
        <v>39600</v>
      </c>
      <c r="Y260" s="48">
        <f t="shared" si="50"/>
        <v>84.255319148936167</v>
      </c>
      <c r="Z260" s="137">
        <f t="shared" si="51"/>
        <v>50.797143148145246</v>
      </c>
      <c r="AA260" s="69">
        <v>0</v>
      </c>
      <c r="AB260" s="48">
        <f t="shared" si="52"/>
        <v>0</v>
      </c>
      <c r="AC260" s="137">
        <f t="shared" si="53"/>
        <v>0</v>
      </c>
      <c r="AD260" s="70">
        <f t="shared" si="54"/>
        <v>39600</v>
      </c>
      <c r="AE260" s="71">
        <f t="shared" si="55"/>
        <v>84.255319148936167</v>
      </c>
      <c r="AF260" s="193">
        <f t="shared" si="56"/>
        <v>50.797143148145246</v>
      </c>
      <c r="AG260" s="185">
        <f t="shared" si="57"/>
        <v>1.2369201936592224E-3</v>
      </c>
      <c r="AH260" s="180">
        <f t="shared" si="62"/>
        <v>2.4361734850815134E-3</v>
      </c>
      <c r="AI260" s="189">
        <v>470</v>
      </c>
      <c r="AJ260" s="125">
        <v>779.57140000000004</v>
      </c>
      <c r="AK260" s="149">
        <v>191</v>
      </c>
      <c r="AL260" s="221">
        <v>134</v>
      </c>
      <c r="AM260" s="216">
        <v>100</v>
      </c>
      <c r="AN260" s="213">
        <v>5.2132701421800949</v>
      </c>
      <c r="AO260" s="127">
        <v>6.4029999999999996</v>
      </c>
      <c r="AP260" s="133">
        <v>3.2509999999999999</v>
      </c>
      <c r="AQ260" s="224">
        <f t="shared" si="58"/>
        <v>1.1491442542787287</v>
      </c>
      <c r="AR260" s="158">
        <v>409</v>
      </c>
      <c r="AS260" s="229">
        <f t="shared" si="59"/>
        <v>0.62005277044854878</v>
      </c>
      <c r="AT260" s="230">
        <v>758</v>
      </c>
      <c r="AU260" s="203">
        <v>17.021276595744681</v>
      </c>
      <c r="AV260" s="204">
        <v>66.38297872340425</v>
      </c>
      <c r="AW260" s="205">
        <v>16.595744680851062</v>
      </c>
      <c r="AX260" s="123">
        <v>1.9048</v>
      </c>
      <c r="AY260" s="281">
        <v>5.2356020942408374</v>
      </c>
      <c r="AZ260" s="282">
        <v>40.837696335078533</v>
      </c>
      <c r="BA260" s="283">
        <f t="shared" si="60"/>
        <v>53.926701570680635</v>
      </c>
      <c r="BB260" s="234">
        <v>91.358024691358025</v>
      </c>
      <c r="BC260" s="20">
        <v>2014</v>
      </c>
      <c r="BD260" s="263" t="s">
        <v>556</v>
      </c>
      <c r="BE260" s="261" t="s">
        <v>556</v>
      </c>
      <c r="BF260" s="259" t="s">
        <v>556</v>
      </c>
      <c r="BG260" s="256">
        <v>12.556053811659194</v>
      </c>
      <c r="BH260" s="248" t="s">
        <v>556</v>
      </c>
      <c r="BI260" s="249">
        <v>41.549295774647888</v>
      </c>
      <c r="BJ260" s="309" t="s">
        <v>557</v>
      </c>
      <c r="BK260" s="307" t="s">
        <v>750</v>
      </c>
      <c r="BL260" s="319" t="s">
        <v>1728</v>
      </c>
      <c r="BM260" s="320" t="s">
        <v>556</v>
      </c>
      <c r="BN260" s="321" t="s">
        <v>1803</v>
      </c>
      <c r="BO260" s="145" t="s">
        <v>556</v>
      </c>
      <c r="BP260" s="14" t="s">
        <v>557</v>
      </c>
      <c r="BQ260" s="14" t="s">
        <v>557</v>
      </c>
      <c r="BR260" s="56"/>
    </row>
    <row r="261" spans="1:70" s="56" customFormat="1" ht="13.95" customHeight="1" x14ac:dyDescent="0.3">
      <c r="A261" s="56" t="s">
        <v>459</v>
      </c>
      <c r="B261" s="57" t="s">
        <v>462</v>
      </c>
      <c r="C261" s="55" t="s">
        <v>347</v>
      </c>
      <c r="D261" s="58">
        <v>1</v>
      </c>
      <c r="E261" s="97" t="s">
        <v>893</v>
      </c>
      <c r="F261" s="60" t="s">
        <v>455</v>
      </c>
      <c r="G261" s="61" t="s">
        <v>304</v>
      </c>
      <c r="H261" s="61" t="s">
        <v>304</v>
      </c>
      <c r="I261" s="62" t="s">
        <v>304</v>
      </c>
      <c r="J261" s="63" t="s">
        <v>1682</v>
      </c>
      <c r="K261" s="99" t="s">
        <v>1475</v>
      </c>
      <c r="L261" s="130">
        <v>494660163</v>
      </c>
      <c r="M261" s="109" t="s">
        <v>564</v>
      </c>
      <c r="N261" s="12" t="s">
        <v>1683</v>
      </c>
      <c r="O261" s="100"/>
      <c r="P261" s="131"/>
      <c r="Q261" s="84"/>
      <c r="S261" s="105"/>
      <c r="T261" s="112"/>
      <c r="U261" s="170">
        <f>60000+60710+440781</f>
        <v>561491</v>
      </c>
      <c r="V261" s="48">
        <f t="shared" si="48"/>
        <v>1273.2222222222222</v>
      </c>
      <c r="W261" s="171">
        <f t="shared" si="49"/>
        <v>392.70866452994295</v>
      </c>
      <c r="X261" s="69">
        <v>722589</v>
      </c>
      <c r="Y261" s="48">
        <f t="shared" si="50"/>
        <v>1638.5238095238096</v>
      </c>
      <c r="Z261" s="137">
        <f t="shared" si="51"/>
        <v>505.38113913495846</v>
      </c>
      <c r="AA261" s="69">
        <v>400000</v>
      </c>
      <c r="AB261" s="48">
        <f t="shared" si="52"/>
        <v>907.02947845804988</v>
      </c>
      <c r="AC261" s="137">
        <f t="shared" si="53"/>
        <v>279.76132442368117</v>
      </c>
      <c r="AD261" s="70">
        <f t="shared" si="54"/>
        <v>1684080</v>
      </c>
      <c r="AE261" s="71">
        <f t="shared" si="55"/>
        <v>3818.7755102040815</v>
      </c>
      <c r="AF261" s="193">
        <f t="shared" si="56"/>
        <v>1177.8511280885825</v>
      </c>
      <c r="AG261" s="185">
        <f t="shared" si="57"/>
        <v>3.7507349665924276E-2</v>
      </c>
      <c r="AH261" s="180">
        <f t="shared" si="62"/>
        <v>0.24820633750921151</v>
      </c>
      <c r="AI261" s="189">
        <v>441</v>
      </c>
      <c r="AJ261" s="125">
        <v>1429.7901999999999</v>
      </c>
      <c r="AK261" s="149">
        <v>384</v>
      </c>
      <c r="AL261" s="221">
        <v>102</v>
      </c>
      <c r="AM261" s="216">
        <v>52.976190476190474</v>
      </c>
      <c r="AN261" s="213">
        <v>24.535315985130111</v>
      </c>
      <c r="AO261" s="127">
        <v>8.98</v>
      </c>
      <c r="AP261" s="133">
        <v>1.357</v>
      </c>
      <c r="AQ261" s="224">
        <f t="shared" si="58"/>
        <v>0.81365313653136528</v>
      </c>
      <c r="AR261" s="158">
        <v>542</v>
      </c>
      <c r="AS261" s="229">
        <f t="shared" si="59"/>
        <v>0.30947368421052629</v>
      </c>
      <c r="AT261" s="230">
        <v>1425</v>
      </c>
      <c r="AU261" s="203">
        <v>12.698412698412698</v>
      </c>
      <c r="AV261" s="204">
        <v>69.16099773242631</v>
      </c>
      <c r="AW261" s="205">
        <v>18.140589569160998</v>
      </c>
      <c r="AX261" s="123">
        <v>3.5032000000000001</v>
      </c>
      <c r="AY261" s="281">
        <v>8.8757396449704142</v>
      </c>
      <c r="AZ261" s="282">
        <v>31.952662721893493</v>
      </c>
      <c r="BA261" s="283">
        <f t="shared" si="60"/>
        <v>59.171597633136102</v>
      </c>
      <c r="BB261" s="234">
        <v>85.245901639344268</v>
      </c>
      <c r="BC261" s="20">
        <v>1999</v>
      </c>
      <c r="BD261" s="263" t="s">
        <v>556</v>
      </c>
      <c r="BE261" s="261" t="s">
        <v>556</v>
      </c>
      <c r="BF261" s="259" t="s">
        <v>556</v>
      </c>
      <c r="BG261" s="256">
        <v>50.710900473933648</v>
      </c>
      <c r="BH261" s="254" t="s">
        <v>557</v>
      </c>
      <c r="BI261" s="249">
        <v>0</v>
      </c>
      <c r="BJ261" s="308" t="s">
        <v>556</v>
      </c>
      <c r="BK261" s="307" t="s">
        <v>556</v>
      </c>
      <c r="BL261" s="319" t="s">
        <v>1728</v>
      </c>
      <c r="BM261" s="320" t="s">
        <v>557</v>
      </c>
      <c r="BN261" s="321" t="s">
        <v>1801</v>
      </c>
      <c r="BO261" s="145" t="s">
        <v>556</v>
      </c>
      <c r="BP261" s="14" t="s">
        <v>556</v>
      </c>
      <c r="BQ261" s="14" t="s">
        <v>557</v>
      </c>
    </row>
    <row r="262" spans="1:70" s="72" customFormat="1" ht="13.95" customHeight="1" x14ac:dyDescent="0.3">
      <c r="A262" s="56" t="s">
        <v>461</v>
      </c>
      <c r="B262" s="77" t="s">
        <v>464</v>
      </c>
      <c r="C262" s="74" t="s">
        <v>38</v>
      </c>
      <c r="D262" s="58">
        <v>3</v>
      </c>
      <c r="E262" s="59" t="s">
        <v>703</v>
      </c>
      <c r="F262" s="60" t="s">
        <v>455</v>
      </c>
      <c r="G262" s="75" t="s">
        <v>304</v>
      </c>
      <c r="H262" s="75" t="s">
        <v>38</v>
      </c>
      <c r="I262" s="76" t="s">
        <v>38</v>
      </c>
      <c r="J262" s="63" t="s">
        <v>2164</v>
      </c>
      <c r="K262" s="99" t="s">
        <v>2165</v>
      </c>
      <c r="L262" s="130">
        <v>494668331</v>
      </c>
      <c r="M262" s="109" t="s">
        <v>537</v>
      </c>
      <c r="N262" s="12" t="s">
        <v>1476</v>
      </c>
      <c r="O262" s="100" t="s">
        <v>1477</v>
      </c>
      <c r="P262" s="131">
        <v>494669631</v>
      </c>
      <c r="Q262" s="84"/>
      <c r="R262" s="56"/>
      <c r="S262" s="105"/>
      <c r="T262" s="112"/>
      <c r="U262" s="172">
        <v>0</v>
      </c>
      <c r="V262" s="135">
        <f t="shared" ref="V262:V325" si="63">IF(U262=0,0,U262/AI262)</f>
        <v>0</v>
      </c>
      <c r="W262" s="173">
        <f t="shared" ref="W262:W325" si="64">IF(U262=0,0,U262/AJ262)</f>
        <v>0</v>
      </c>
      <c r="X262" s="69">
        <v>792187</v>
      </c>
      <c r="Y262" s="48">
        <f t="shared" ref="Y262:Y325" si="65">IF(X262=0,0,X262/AI262)</f>
        <v>254.06895445798588</v>
      </c>
      <c r="Z262" s="137">
        <f t="shared" ref="Z262:Z325" si="66">IF(X262=0,0,X262/AJ262)</f>
        <v>565.409826073315</v>
      </c>
      <c r="AA262" s="69">
        <v>600000</v>
      </c>
      <c r="AB262" s="48">
        <f t="shared" ref="AB262:AB325" si="67">IF(AA262=0,0,AA262/AI262)</f>
        <v>192.43104554201412</v>
      </c>
      <c r="AC262" s="137">
        <f t="shared" ref="AC262:AC325" si="68">IF(AA262=0,0,AA262/AJ262)</f>
        <v>428.23966518510019</v>
      </c>
      <c r="AD262" s="70">
        <f t="shared" ref="AD262:AD325" si="69">IF(U262+X262+AA262=0,0,U262+X262+AA262)</f>
        <v>1392187</v>
      </c>
      <c r="AE262" s="71">
        <f t="shared" ref="AE262:AE325" si="70">IF(AD262=0,0,AD262/AI262)</f>
        <v>446.5</v>
      </c>
      <c r="AF262" s="193">
        <f t="shared" ref="AF262:AF325" si="71">IF(AD262=0,0,AD262/AJ262)</f>
        <v>993.6494912584152</v>
      </c>
      <c r="AG262" s="185">
        <f t="shared" ref="AG262:AG325" si="72">IF(AD262=0,0,1/(AO262*5000000/AD262))</f>
        <v>4.2096276249943302E-3</v>
      </c>
      <c r="AH262" s="180">
        <f t="shared" si="62"/>
        <v>1.4161194181670228E-2</v>
      </c>
      <c r="AI262" s="189">
        <v>3118</v>
      </c>
      <c r="AJ262" s="126">
        <v>1401.0845999999999</v>
      </c>
      <c r="AK262" s="150">
        <v>978</v>
      </c>
      <c r="AL262" s="221">
        <v>644</v>
      </c>
      <c r="AM262" s="216">
        <v>51.842751842751845</v>
      </c>
      <c r="AN262" s="213">
        <v>2.6045236463331047</v>
      </c>
      <c r="AO262" s="128">
        <v>66.143000000000001</v>
      </c>
      <c r="AP262" s="134">
        <v>19.661999999999999</v>
      </c>
      <c r="AQ262" s="224">
        <f t="shared" ref="AQ262:AQ325" si="73">AI262/AR262</f>
        <v>0.94227863402840739</v>
      </c>
      <c r="AR262" s="158">
        <v>3309</v>
      </c>
      <c r="AS262" s="229">
        <f t="shared" ref="AS262:AS325" si="74">AI262/AT262</f>
        <v>1.0867898222377135</v>
      </c>
      <c r="AT262" s="230">
        <v>2869</v>
      </c>
      <c r="AU262" s="203">
        <v>14.977549711353433</v>
      </c>
      <c r="AV262" s="204">
        <v>63.790891597177676</v>
      </c>
      <c r="AW262" s="205">
        <v>21.231558691468891</v>
      </c>
      <c r="AX262" s="123">
        <v>3.0363000000000002</v>
      </c>
      <c r="AY262" s="281">
        <v>3.4970238095238098</v>
      </c>
      <c r="AZ262" s="282">
        <v>37.12797619047619</v>
      </c>
      <c r="BA262" s="283">
        <f t="shared" ref="BA262:BA325" si="75">100-AY262-AZ262</f>
        <v>59.375</v>
      </c>
      <c r="BB262" s="234">
        <v>58.944658944658947</v>
      </c>
      <c r="BC262" s="20">
        <v>1995</v>
      </c>
      <c r="BD262" s="263" t="s">
        <v>556</v>
      </c>
      <c r="BE262" s="261" t="s">
        <v>556</v>
      </c>
      <c r="BF262" s="259" t="s">
        <v>556</v>
      </c>
      <c r="BG262" s="256">
        <v>85.118842576644852</v>
      </c>
      <c r="BH262" s="248" t="s">
        <v>556</v>
      </c>
      <c r="BI262" s="249">
        <v>45.890158496129743</v>
      </c>
      <c r="BJ262" s="308" t="s">
        <v>556</v>
      </c>
      <c r="BK262" s="307" t="s">
        <v>556</v>
      </c>
      <c r="BL262" s="319" t="s">
        <v>1728</v>
      </c>
      <c r="BM262" s="320" t="s">
        <v>556</v>
      </c>
      <c r="BN262" s="321" t="s">
        <v>2166</v>
      </c>
      <c r="BO262" s="145" t="s">
        <v>556</v>
      </c>
      <c r="BP262" s="14" t="s">
        <v>556</v>
      </c>
      <c r="BQ262" s="14" t="s">
        <v>556</v>
      </c>
    </row>
    <row r="263" spans="1:70" s="56" customFormat="1" ht="13.95" customHeight="1" x14ac:dyDescent="0.3">
      <c r="A263" s="56" t="s">
        <v>459</v>
      </c>
      <c r="B263" s="57" t="s">
        <v>462</v>
      </c>
      <c r="C263" s="55" t="s">
        <v>348</v>
      </c>
      <c r="D263" s="58">
        <v>1</v>
      </c>
      <c r="E263" s="97" t="s">
        <v>894</v>
      </c>
      <c r="F263" s="60" t="s">
        <v>455</v>
      </c>
      <c r="G263" s="61" t="s">
        <v>528</v>
      </c>
      <c r="H263" s="61" t="s">
        <v>527</v>
      </c>
      <c r="I263" s="62" t="s">
        <v>527</v>
      </c>
      <c r="J263" s="63" t="s">
        <v>2161</v>
      </c>
      <c r="K263" s="99" t="s">
        <v>1479</v>
      </c>
      <c r="L263" s="130">
        <v>494593143</v>
      </c>
      <c r="M263" s="109" t="s">
        <v>564</v>
      </c>
      <c r="N263" s="12" t="s">
        <v>1478</v>
      </c>
      <c r="O263" s="100"/>
      <c r="P263" s="131">
        <v>602276862</v>
      </c>
      <c r="Q263" s="82"/>
      <c r="R263" s="72"/>
      <c r="S263" s="115"/>
      <c r="T263" s="112"/>
      <c r="U263" s="170">
        <f>95000+336300</f>
        <v>431300</v>
      </c>
      <c r="V263" s="48">
        <f t="shared" si="63"/>
        <v>2246.3541666666665</v>
      </c>
      <c r="W263" s="171">
        <f t="shared" si="64"/>
        <v>148.00642923731289</v>
      </c>
      <c r="X263" s="69">
        <v>408910</v>
      </c>
      <c r="Y263" s="48">
        <f t="shared" si="65"/>
        <v>2129.7395833333335</v>
      </c>
      <c r="Z263" s="137">
        <f t="shared" si="66"/>
        <v>140.32299786559147</v>
      </c>
      <c r="AA263" s="69">
        <v>0</v>
      </c>
      <c r="AB263" s="48">
        <f t="shared" si="67"/>
        <v>0</v>
      </c>
      <c r="AC263" s="137">
        <f t="shared" si="68"/>
        <v>0</v>
      </c>
      <c r="AD263" s="70">
        <f t="shared" si="69"/>
        <v>840210</v>
      </c>
      <c r="AE263" s="71">
        <f t="shared" si="70"/>
        <v>4376.09375</v>
      </c>
      <c r="AF263" s="193">
        <f t="shared" si="71"/>
        <v>288.32942710290433</v>
      </c>
      <c r="AG263" s="185">
        <f t="shared" si="72"/>
        <v>1.1517614804660728E-2</v>
      </c>
      <c r="AH263" s="180">
        <f t="shared" si="62"/>
        <v>2.6994698795180721E-2</v>
      </c>
      <c r="AI263" s="189">
        <v>192</v>
      </c>
      <c r="AJ263" s="125">
        <v>2914.0626000000002</v>
      </c>
      <c r="AK263" s="149">
        <v>226</v>
      </c>
      <c r="AL263" s="221">
        <v>33</v>
      </c>
      <c r="AM263" s="216">
        <v>33.333333333333329</v>
      </c>
      <c r="AN263" s="213">
        <v>10.638297872340425</v>
      </c>
      <c r="AO263" s="127">
        <v>14.59</v>
      </c>
      <c r="AP263" s="133">
        <v>6.2249999999999996</v>
      </c>
      <c r="AQ263" s="224">
        <f t="shared" si="73"/>
        <v>0.79668049792531115</v>
      </c>
      <c r="AR263" s="158">
        <v>241</v>
      </c>
      <c r="AS263" s="229">
        <f t="shared" si="74"/>
        <v>8.6642599277978335E-2</v>
      </c>
      <c r="AT263" s="230">
        <v>2216</v>
      </c>
      <c r="AU263" s="203">
        <v>19.791666666666664</v>
      </c>
      <c r="AV263" s="204">
        <v>68.229166666666671</v>
      </c>
      <c r="AW263" s="205">
        <v>11.979166666666668</v>
      </c>
      <c r="AX263" s="123">
        <v>3.8168000000000002</v>
      </c>
      <c r="AY263" s="281">
        <v>17.857142857142858</v>
      </c>
      <c r="AZ263" s="282">
        <v>22.61904761904762</v>
      </c>
      <c r="BA263" s="283">
        <f t="shared" si="75"/>
        <v>59.523809523809518</v>
      </c>
      <c r="BB263" s="234">
        <v>60</v>
      </c>
      <c r="BC263" s="20">
        <v>2015</v>
      </c>
      <c r="BD263" s="263" t="s">
        <v>556</v>
      </c>
      <c r="BE263" s="261" t="s">
        <v>556</v>
      </c>
      <c r="BF263" s="260" t="s">
        <v>557</v>
      </c>
      <c r="BG263" s="256">
        <v>39.880952380952387</v>
      </c>
      <c r="BH263" s="254" t="s">
        <v>557</v>
      </c>
      <c r="BI263" s="249">
        <v>0</v>
      </c>
      <c r="BJ263" s="308" t="s">
        <v>556</v>
      </c>
      <c r="BK263" s="307" t="s">
        <v>750</v>
      </c>
      <c r="BL263" s="319" t="s">
        <v>1728</v>
      </c>
      <c r="BM263" s="320" t="s">
        <v>556</v>
      </c>
      <c r="BN263" s="321" t="s">
        <v>1803</v>
      </c>
      <c r="BO263" s="145" t="s">
        <v>998</v>
      </c>
      <c r="BP263" s="14" t="s">
        <v>556</v>
      </c>
      <c r="BQ263" s="14" t="s">
        <v>557</v>
      </c>
      <c r="BR263" s="72"/>
    </row>
    <row r="264" spans="1:70" s="56" customFormat="1" ht="13.95" customHeight="1" x14ac:dyDescent="0.3">
      <c r="A264" s="56" t="s">
        <v>459</v>
      </c>
      <c r="B264" s="57" t="s">
        <v>462</v>
      </c>
      <c r="C264" s="55" t="s">
        <v>349</v>
      </c>
      <c r="D264" s="58">
        <v>4</v>
      </c>
      <c r="E264" s="59" t="s">
        <v>704</v>
      </c>
      <c r="F264" s="60" t="s">
        <v>455</v>
      </c>
      <c r="G264" s="61" t="s">
        <v>528</v>
      </c>
      <c r="H264" s="61" t="s">
        <v>528</v>
      </c>
      <c r="I264" s="62" t="s">
        <v>528</v>
      </c>
      <c r="J264" s="63" t="s">
        <v>2167</v>
      </c>
      <c r="K264" s="99" t="s">
        <v>2168</v>
      </c>
      <c r="L264" s="130">
        <v>494598253</v>
      </c>
      <c r="M264" s="109" t="s">
        <v>564</v>
      </c>
      <c r="N264" s="12" t="s">
        <v>1480</v>
      </c>
      <c r="O264" s="100"/>
      <c r="P264" s="131">
        <v>724183064</v>
      </c>
      <c r="Q264" s="84"/>
      <c r="S264" s="105"/>
      <c r="T264" s="112"/>
      <c r="U264" s="170">
        <v>498100</v>
      </c>
      <c r="V264" s="48">
        <f t="shared" si="63"/>
        <v>1766.3120567375886</v>
      </c>
      <c r="W264" s="171">
        <f t="shared" si="64"/>
        <v>635.16668375406584</v>
      </c>
      <c r="X264" s="69">
        <v>0</v>
      </c>
      <c r="Y264" s="48">
        <f t="shared" si="65"/>
        <v>0</v>
      </c>
      <c r="Z264" s="137">
        <f t="shared" si="66"/>
        <v>0</v>
      </c>
      <c r="AA264" s="69">
        <v>0</v>
      </c>
      <c r="AB264" s="48">
        <f t="shared" si="67"/>
        <v>0</v>
      </c>
      <c r="AC264" s="137">
        <f t="shared" si="68"/>
        <v>0</v>
      </c>
      <c r="AD264" s="70">
        <f t="shared" si="69"/>
        <v>498100</v>
      </c>
      <c r="AE264" s="71">
        <f t="shared" si="70"/>
        <v>1766.3120567375886</v>
      </c>
      <c r="AF264" s="193">
        <f t="shared" si="71"/>
        <v>635.16668375406584</v>
      </c>
      <c r="AG264" s="185">
        <f t="shared" si="72"/>
        <v>2.878358855822017E-2</v>
      </c>
      <c r="AH264" s="180">
        <f t="shared" si="62"/>
        <v>0.24658415841584155</v>
      </c>
      <c r="AI264" s="189">
        <v>282</v>
      </c>
      <c r="AJ264" s="125">
        <v>784.20360000000005</v>
      </c>
      <c r="AK264" s="149">
        <v>170</v>
      </c>
      <c r="AL264" s="221">
        <v>85</v>
      </c>
      <c r="AM264" s="216">
        <v>90.322580645161281</v>
      </c>
      <c r="AN264" s="213">
        <v>20.863309352517987</v>
      </c>
      <c r="AO264" s="127">
        <v>3.4609999999999999</v>
      </c>
      <c r="AP264" s="133">
        <v>0.40400000000000003</v>
      </c>
      <c r="AQ264" s="224">
        <f t="shared" si="73"/>
        <v>0.96907216494845361</v>
      </c>
      <c r="AR264" s="158">
        <v>291</v>
      </c>
      <c r="AS264" s="229">
        <f t="shared" si="74"/>
        <v>0.52513966480446927</v>
      </c>
      <c r="AT264" s="230">
        <v>537</v>
      </c>
      <c r="AU264" s="203">
        <v>15.24822695035461</v>
      </c>
      <c r="AV264" s="204">
        <v>66.312056737588662</v>
      </c>
      <c r="AW264" s="205">
        <v>18.439716312056735</v>
      </c>
      <c r="AX264" s="123">
        <v>2.6316000000000002</v>
      </c>
      <c r="AY264" s="281">
        <v>12.5</v>
      </c>
      <c r="AZ264" s="282">
        <v>45.833333333333329</v>
      </c>
      <c r="BA264" s="283">
        <f t="shared" si="75"/>
        <v>41.666666666666671</v>
      </c>
      <c r="BB264" s="234">
        <v>84.615384615384613</v>
      </c>
      <c r="BC264" s="20">
        <v>2012</v>
      </c>
      <c r="BD264" s="263" t="s">
        <v>556</v>
      </c>
      <c r="BE264" s="262" t="s">
        <v>557</v>
      </c>
      <c r="BF264" s="260" t="s">
        <v>557</v>
      </c>
      <c r="BG264" s="256">
        <v>0</v>
      </c>
      <c r="BH264" s="254" t="s">
        <v>557</v>
      </c>
      <c r="BI264" s="249">
        <v>0</v>
      </c>
      <c r="BJ264" s="309" t="s">
        <v>557</v>
      </c>
      <c r="BK264" s="307" t="s">
        <v>557</v>
      </c>
      <c r="BL264" s="319" t="s">
        <v>1728</v>
      </c>
      <c r="BM264" s="320" t="s">
        <v>556</v>
      </c>
      <c r="BN264" s="321" t="s">
        <v>1803</v>
      </c>
      <c r="BO264" s="145" t="s">
        <v>557</v>
      </c>
      <c r="BP264" s="14" t="s">
        <v>557</v>
      </c>
      <c r="BQ264" s="14" t="s">
        <v>557</v>
      </c>
    </row>
    <row r="265" spans="1:70" s="56" customFormat="1" ht="13.95" customHeight="1" x14ac:dyDescent="0.3">
      <c r="A265" s="56" t="s">
        <v>459</v>
      </c>
      <c r="B265" s="57" t="s">
        <v>462</v>
      </c>
      <c r="C265" s="55" t="s">
        <v>172</v>
      </c>
      <c r="D265" s="58">
        <v>1</v>
      </c>
      <c r="E265" s="59"/>
      <c r="F265" s="60" t="s">
        <v>453</v>
      </c>
      <c r="G265" s="61" t="s">
        <v>113</v>
      </c>
      <c r="H265" s="61" t="s">
        <v>159</v>
      </c>
      <c r="I265" s="62" t="s">
        <v>159</v>
      </c>
      <c r="J265" s="63" t="s">
        <v>2169</v>
      </c>
      <c r="K265" s="99" t="s">
        <v>2171</v>
      </c>
      <c r="L265" s="130">
        <v>493571785</v>
      </c>
      <c r="M265" s="109" t="s">
        <v>564</v>
      </c>
      <c r="N265" s="12" t="s">
        <v>2170</v>
      </c>
      <c r="O265" s="100"/>
      <c r="P265" s="131">
        <v>773504790</v>
      </c>
      <c r="Q265" s="67"/>
      <c r="R265" s="68"/>
      <c r="S265" s="99"/>
      <c r="T265" s="65"/>
      <c r="U265" s="170">
        <v>760000</v>
      </c>
      <c r="V265" s="48">
        <f t="shared" si="63"/>
        <v>3470.3196347031962</v>
      </c>
      <c r="W265" s="171">
        <f t="shared" si="64"/>
        <v>1993.5963586437879</v>
      </c>
      <c r="X265" s="69">
        <v>0</v>
      </c>
      <c r="Y265" s="48">
        <f t="shared" si="65"/>
        <v>0</v>
      </c>
      <c r="Z265" s="137">
        <f t="shared" si="66"/>
        <v>0</v>
      </c>
      <c r="AA265" s="69">
        <v>0</v>
      </c>
      <c r="AB265" s="48">
        <f t="shared" si="67"/>
        <v>0</v>
      </c>
      <c r="AC265" s="137">
        <f t="shared" si="68"/>
        <v>0</v>
      </c>
      <c r="AD265" s="70">
        <f t="shared" si="69"/>
        <v>760000</v>
      </c>
      <c r="AE265" s="71">
        <f t="shared" si="70"/>
        <v>3470.3196347031962</v>
      </c>
      <c r="AF265" s="193">
        <f t="shared" si="71"/>
        <v>1993.5963586437879</v>
      </c>
      <c r="AG265" s="185">
        <f t="shared" si="72"/>
        <v>5.9748427672955975E-2</v>
      </c>
      <c r="AH265" s="180">
        <f t="shared" si="62"/>
        <v>0.13286713286713289</v>
      </c>
      <c r="AI265" s="189">
        <v>219</v>
      </c>
      <c r="AJ265" s="125">
        <v>381.22059999999999</v>
      </c>
      <c r="AK265" s="149">
        <v>97</v>
      </c>
      <c r="AL265" s="221">
        <v>65</v>
      </c>
      <c r="AM265" s="216">
        <v>93.150684931506845</v>
      </c>
      <c r="AN265" s="213">
        <v>14.43298969072165</v>
      </c>
      <c r="AO265" s="127">
        <v>2.544</v>
      </c>
      <c r="AP265" s="133">
        <v>1.1439999999999999</v>
      </c>
      <c r="AQ265" s="224">
        <f t="shared" si="73"/>
        <v>1.3687499999999999</v>
      </c>
      <c r="AR265" s="158">
        <v>160</v>
      </c>
      <c r="AS265" s="229">
        <f t="shared" si="74"/>
        <v>0.67801857585139313</v>
      </c>
      <c r="AT265" s="230">
        <v>323</v>
      </c>
      <c r="AU265" s="203">
        <v>20.547945205479451</v>
      </c>
      <c r="AV265" s="204">
        <v>69.406392694063925</v>
      </c>
      <c r="AW265" s="205">
        <v>10.045662100456621</v>
      </c>
      <c r="AX265" s="123">
        <v>1.3245</v>
      </c>
      <c r="AY265" s="281">
        <v>4.2553191489361701</v>
      </c>
      <c r="AZ265" s="282">
        <v>47.872340425531917</v>
      </c>
      <c r="BA265" s="283">
        <f t="shared" si="75"/>
        <v>47.872340425531917</v>
      </c>
      <c r="BB265" s="234">
        <v>94.444444444444443</v>
      </c>
      <c r="BC265" s="20">
        <v>1999</v>
      </c>
      <c r="BD265" s="263" t="s">
        <v>556</v>
      </c>
      <c r="BE265" s="261" t="s">
        <v>556</v>
      </c>
      <c r="BF265" s="259" t="s">
        <v>556</v>
      </c>
      <c r="BG265" s="256">
        <v>73.40425531914893</v>
      </c>
      <c r="BH265" s="254" t="s">
        <v>557</v>
      </c>
      <c r="BI265" s="249">
        <v>0</v>
      </c>
      <c r="BJ265" s="309" t="s">
        <v>557</v>
      </c>
      <c r="BK265" s="307" t="s">
        <v>557</v>
      </c>
      <c r="BL265" s="319" t="s">
        <v>1728</v>
      </c>
      <c r="BM265" s="320" t="s">
        <v>557</v>
      </c>
      <c r="BN265" s="321" t="s">
        <v>557</v>
      </c>
      <c r="BO265" s="145" t="s">
        <v>557</v>
      </c>
      <c r="BP265" s="14" t="s">
        <v>556</v>
      </c>
      <c r="BQ265" s="14" t="s">
        <v>557</v>
      </c>
    </row>
    <row r="266" spans="1:70" s="56" customFormat="1" ht="13.95" customHeight="1" x14ac:dyDescent="0.3">
      <c r="A266" s="56" t="s">
        <v>459</v>
      </c>
      <c r="B266" s="57" t="s">
        <v>462</v>
      </c>
      <c r="C266" s="55" t="s">
        <v>73</v>
      </c>
      <c r="D266" s="58">
        <v>3</v>
      </c>
      <c r="E266" s="59" t="s">
        <v>485</v>
      </c>
      <c r="F266" s="60" t="s">
        <v>452</v>
      </c>
      <c r="G266" s="61" t="s">
        <v>11</v>
      </c>
      <c r="H266" s="61" t="s">
        <v>11</v>
      </c>
      <c r="I266" s="62" t="s">
        <v>11</v>
      </c>
      <c r="J266" s="63" t="s">
        <v>2162</v>
      </c>
      <c r="K266" s="99" t="s">
        <v>923</v>
      </c>
      <c r="L266" s="130">
        <v>495451823</v>
      </c>
      <c r="M266" s="109" t="s">
        <v>921</v>
      </c>
      <c r="N266" s="79" t="s">
        <v>922</v>
      </c>
      <c r="O266" s="100"/>
      <c r="P266" s="131">
        <v>725190305</v>
      </c>
      <c r="Q266" s="67"/>
      <c r="R266" s="68"/>
      <c r="S266" s="99"/>
      <c r="T266" s="65"/>
      <c r="U266" s="170">
        <f>103053+105000+600000+94428</f>
        <v>902481</v>
      </c>
      <c r="V266" s="48">
        <f t="shared" si="63"/>
        <v>1876.2598752598753</v>
      </c>
      <c r="W266" s="171">
        <f t="shared" si="64"/>
        <v>1207.3095066287704</v>
      </c>
      <c r="X266" s="69">
        <f>209910+10000</f>
        <v>219910</v>
      </c>
      <c r="Y266" s="48">
        <f t="shared" si="65"/>
        <v>457.19334719334717</v>
      </c>
      <c r="Z266" s="137">
        <f t="shared" si="66"/>
        <v>294.18839133758263</v>
      </c>
      <c r="AA266" s="69">
        <v>0</v>
      </c>
      <c r="AB266" s="48">
        <f t="shared" si="67"/>
        <v>0</v>
      </c>
      <c r="AC266" s="137">
        <f t="shared" si="68"/>
        <v>0</v>
      </c>
      <c r="AD266" s="70">
        <f t="shared" si="69"/>
        <v>1122391</v>
      </c>
      <c r="AE266" s="71">
        <f t="shared" si="70"/>
        <v>2333.4532224532227</v>
      </c>
      <c r="AF266" s="193">
        <f t="shared" si="71"/>
        <v>1501.4978979663531</v>
      </c>
      <c r="AG266" s="185">
        <f t="shared" si="72"/>
        <v>2.7958425706812805E-2</v>
      </c>
      <c r="AH266" s="180">
        <f t="shared" si="62"/>
        <v>9.392393305439331E-2</v>
      </c>
      <c r="AI266" s="189">
        <v>481</v>
      </c>
      <c r="AJ266" s="125">
        <v>747.51419999999996</v>
      </c>
      <c r="AK266" s="149">
        <v>192</v>
      </c>
      <c r="AL266" s="221">
        <v>135</v>
      </c>
      <c r="AM266" s="216">
        <v>93.589743589743591</v>
      </c>
      <c r="AN266" s="213">
        <v>3.5532994923857864</v>
      </c>
      <c r="AO266" s="127">
        <v>8.0289999999999999</v>
      </c>
      <c r="AP266" s="133">
        <v>2.39</v>
      </c>
      <c r="AQ266" s="224">
        <f t="shared" si="73"/>
        <v>1.1965174129353233</v>
      </c>
      <c r="AR266" s="158">
        <v>402</v>
      </c>
      <c r="AS266" s="229">
        <f t="shared" si="74"/>
        <v>0.70527859237536661</v>
      </c>
      <c r="AT266" s="230">
        <v>682</v>
      </c>
      <c r="AU266" s="203">
        <v>16.839916839916842</v>
      </c>
      <c r="AV266" s="204">
        <v>66.112266112266113</v>
      </c>
      <c r="AW266" s="205">
        <v>17.047817047817048</v>
      </c>
      <c r="AX266" s="123">
        <v>5.9748000000000001</v>
      </c>
      <c r="AY266" s="281">
        <v>12.669683257918551</v>
      </c>
      <c r="AZ266" s="282">
        <v>29.411764705882355</v>
      </c>
      <c r="BA266" s="283">
        <f t="shared" si="75"/>
        <v>57.918552036199095</v>
      </c>
      <c r="BB266" s="234">
        <v>77.599999999999994</v>
      </c>
      <c r="BC266" s="20">
        <v>2006</v>
      </c>
      <c r="BD266" s="263" t="s">
        <v>556</v>
      </c>
      <c r="BE266" s="261" t="s">
        <v>556</v>
      </c>
      <c r="BF266" s="259" t="s">
        <v>556</v>
      </c>
      <c r="BG266" s="256">
        <v>34.273318872017356</v>
      </c>
      <c r="BH266" s="248" t="s">
        <v>556</v>
      </c>
      <c r="BI266" s="249">
        <v>31.934731934731936</v>
      </c>
      <c r="BJ266" s="308" t="s">
        <v>556</v>
      </c>
      <c r="BK266" s="307" t="s">
        <v>556</v>
      </c>
      <c r="BL266" s="319" t="s">
        <v>1728</v>
      </c>
      <c r="BM266" s="320" t="s">
        <v>556</v>
      </c>
      <c r="BN266" s="321" t="s">
        <v>1731</v>
      </c>
      <c r="BO266" s="145" t="s">
        <v>556</v>
      </c>
      <c r="BP266" s="14" t="s">
        <v>556</v>
      </c>
      <c r="BQ266" s="14" t="s">
        <v>557</v>
      </c>
    </row>
    <row r="267" spans="1:70" s="72" customFormat="1" ht="13.95" customHeight="1" x14ac:dyDescent="0.3">
      <c r="A267" s="56" t="s">
        <v>459</v>
      </c>
      <c r="B267" s="57" t="s">
        <v>462</v>
      </c>
      <c r="C267" s="55" t="s">
        <v>74</v>
      </c>
      <c r="D267" s="58">
        <v>1</v>
      </c>
      <c r="E267" s="59"/>
      <c r="F267" s="60" t="s">
        <v>452</v>
      </c>
      <c r="G267" s="61" t="s">
        <v>11</v>
      </c>
      <c r="H267" s="61" t="s">
        <v>11</v>
      </c>
      <c r="I267" s="62" t="s">
        <v>11</v>
      </c>
      <c r="J267" s="63" t="s">
        <v>2163</v>
      </c>
      <c r="K267" s="99" t="s">
        <v>925</v>
      </c>
      <c r="L267" s="130"/>
      <c r="M267" s="109" t="s">
        <v>537</v>
      </c>
      <c r="N267" s="12" t="s">
        <v>924</v>
      </c>
      <c r="O267" s="100"/>
      <c r="P267" s="131">
        <v>724183063</v>
      </c>
      <c r="Q267" s="67"/>
      <c r="R267" s="68"/>
      <c r="S267" s="99"/>
      <c r="T267" s="65"/>
      <c r="U267" s="170">
        <v>600000</v>
      </c>
      <c r="V267" s="48">
        <f t="shared" si="63"/>
        <v>4000</v>
      </c>
      <c r="W267" s="171">
        <f t="shared" si="64"/>
        <v>1806.3181395886534</v>
      </c>
      <c r="X267" s="69">
        <v>60500</v>
      </c>
      <c r="Y267" s="48">
        <f t="shared" si="65"/>
        <v>403.33333333333331</v>
      </c>
      <c r="Z267" s="137">
        <f t="shared" si="66"/>
        <v>182.13707907518921</v>
      </c>
      <c r="AA267" s="69">
        <v>0</v>
      </c>
      <c r="AB267" s="48">
        <f t="shared" si="67"/>
        <v>0</v>
      </c>
      <c r="AC267" s="137">
        <f t="shared" si="68"/>
        <v>0</v>
      </c>
      <c r="AD267" s="70">
        <f t="shared" si="69"/>
        <v>660500</v>
      </c>
      <c r="AE267" s="71">
        <f t="shared" si="70"/>
        <v>4403.333333333333</v>
      </c>
      <c r="AF267" s="193">
        <f t="shared" si="71"/>
        <v>1988.4552186638425</v>
      </c>
      <c r="AG267" s="185">
        <f t="shared" si="72"/>
        <v>0.10827868852459016</v>
      </c>
      <c r="AH267" s="180">
        <f t="shared" si="62"/>
        <v>0.38625730994152041</v>
      </c>
      <c r="AI267" s="189">
        <v>150</v>
      </c>
      <c r="AJ267" s="125">
        <v>332.16739999999999</v>
      </c>
      <c r="AK267" s="149">
        <v>69</v>
      </c>
      <c r="AL267" s="221">
        <v>47</v>
      </c>
      <c r="AM267" s="216">
        <v>100</v>
      </c>
      <c r="AN267" s="213">
        <v>3.0769230769230766</v>
      </c>
      <c r="AO267" s="127">
        <v>1.22</v>
      </c>
      <c r="AP267" s="133">
        <v>0.34200000000000003</v>
      </c>
      <c r="AQ267" s="224">
        <f t="shared" si="73"/>
        <v>1.1627906976744187</v>
      </c>
      <c r="AR267" s="158">
        <v>129</v>
      </c>
      <c r="AS267" s="229">
        <f t="shared" si="74"/>
        <v>0.51724137931034486</v>
      </c>
      <c r="AT267" s="230">
        <v>290</v>
      </c>
      <c r="AU267" s="203">
        <v>15.333333333333332</v>
      </c>
      <c r="AV267" s="204">
        <v>69.333333333333343</v>
      </c>
      <c r="AW267" s="205">
        <v>15.333333333333332</v>
      </c>
      <c r="AX267" s="123">
        <v>3.8462000000000001</v>
      </c>
      <c r="AY267" s="281">
        <v>11.76470588235294</v>
      </c>
      <c r="AZ267" s="282">
        <v>29.411764705882355</v>
      </c>
      <c r="BA267" s="283">
        <f t="shared" si="75"/>
        <v>58.823529411764703</v>
      </c>
      <c r="BB267" s="234">
        <v>91.428571428571431</v>
      </c>
      <c r="BC267" s="20">
        <v>2019</v>
      </c>
      <c r="BD267" s="263" t="s">
        <v>556</v>
      </c>
      <c r="BE267" s="261" t="s">
        <v>556</v>
      </c>
      <c r="BF267" s="259" t="s">
        <v>556</v>
      </c>
      <c r="BG267" s="256">
        <v>95.138888888888886</v>
      </c>
      <c r="BH267" s="248" t="s">
        <v>556</v>
      </c>
      <c r="BI267" s="249">
        <v>48.888888888888886</v>
      </c>
      <c r="BJ267" s="309" t="s">
        <v>557</v>
      </c>
      <c r="BK267" s="307" t="s">
        <v>557</v>
      </c>
      <c r="BL267" s="319" t="s">
        <v>1728</v>
      </c>
      <c r="BM267" s="320" t="s">
        <v>556</v>
      </c>
      <c r="BN267" s="321" t="s">
        <v>557</v>
      </c>
      <c r="BO267" s="145" t="s">
        <v>557</v>
      </c>
      <c r="BP267" s="14" t="s">
        <v>557</v>
      </c>
      <c r="BQ267" s="14" t="s">
        <v>557</v>
      </c>
      <c r="BR267" s="56"/>
    </row>
    <row r="268" spans="1:70" s="72" customFormat="1" ht="13.95" customHeight="1" x14ac:dyDescent="0.3">
      <c r="A268" s="56" t="s">
        <v>459</v>
      </c>
      <c r="B268" s="57" t="s">
        <v>462</v>
      </c>
      <c r="C268" s="55" t="s">
        <v>140</v>
      </c>
      <c r="D268" s="58">
        <v>4</v>
      </c>
      <c r="E268" s="59" t="s">
        <v>594</v>
      </c>
      <c r="F268" s="60" t="s">
        <v>453</v>
      </c>
      <c r="G268" s="61" t="s">
        <v>117</v>
      </c>
      <c r="H268" s="61" t="s">
        <v>117</v>
      </c>
      <c r="I268" s="62" t="s">
        <v>117</v>
      </c>
      <c r="J268" s="63" t="s">
        <v>2175</v>
      </c>
      <c r="K268" s="99" t="s">
        <v>1123</v>
      </c>
      <c r="L268" s="130">
        <v>493691526</v>
      </c>
      <c r="M268" s="109" t="s">
        <v>564</v>
      </c>
      <c r="N268" s="12" t="s">
        <v>1122</v>
      </c>
      <c r="O268" s="100"/>
      <c r="P268" s="131" t="s">
        <v>2176</v>
      </c>
      <c r="Q268" s="67"/>
      <c r="R268" s="68"/>
      <c r="S268" s="99"/>
      <c r="T268" s="65"/>
      <c r="U268" s="170">
        <v>642500</v>
      </c>
      <c r="V268" s="48">
        <f t="shared" si="63"/>
        <v>465.24257784214336</v>
      </c>
      <c r="W268" s="171">
        <f t="shared" si="64"/>
        <v>520.93379551714781</v>
      </c>
      <c r="X268" s="69">
        <v>1521600</v>
      </c>
      <c r="Y268" s="48">
        <f t="shared" si="65"/>
        <v>1101.810282404055</v>
      </c>
      <c r="Z268" s="137">
        <f t="shared" si="66"/>
        <v>1233.7009544885479</v>
      </c>
      <c r="AA268" s="69">
        <v>0</v>
      </c>
      <c r="AB268" s="48">
        <f t="shared" si="67"/>
        <v>0</v>
      </c>
      <c r="AC268" s="137">
        <f t="shared" si="68"/>
        <v>0</v>
      </c>
      <c r="AD268" s="70">
        <f t="shared" si="69"/>
        <v>2164100</v>
      </c>
      <c r="AE268" s="71">
        <f t="shared" si="70"/>
        <v>1567.0528602461984</v>
      </c>
      <c r="AF268" s="193">
        <f t="shared" si="71"/>
        <v>1754.6347500056957</v>
      </c>
      <c r="AG268" s="185">
        <f t="shared" si="72"/>
        <v>2.6221979886102025E-2</v>
      </c>
      <c r="AH268" s="180">
        <f t="shared" si="62"/>
        <v>8.6964034558971268E-2</v>
      </c>
      <c r="AI268" s="189">
        <v>1381</v>
      </c>
      <c r="AJ268" s="125">
        <v>1233.3621000000001</v>
      </c>
      <c r="AK268" s="149">
        <v>540</v>
      </c>
      <c r="AL268" s="221">
        <v>383</v>
      </c>
      <c r="AM268" s="216">
        <v>75.882352941176464</v>
      </c>
      <c r="AN268" s="213">
        <v>8.7155963302752291</v>
      </c>
      <c r="AO268" s="127">
        <v>16.506</v>
      </c>
      <c r="AP268" s="133">
        <v>4.9770000000000003</v>
      </c>
      <c r="AQ268" s="224">
        <f t="shared" si="73"/>
        <v>0.9794326241134752</v>
      </c>
      <c r="AR268" s="158">
        <v>1410</v>
      </c>
      <c r="AS268" s="229">
        <f t="shared" si="74"/>
        <v>0.74932175800325551</v>
      </c>
      <c r="AT268" s="230">
        <v>1843</v>
      </c>
      <c r="AU268" s="203">
        <v>14.265025343953658</v>
      </c>
      <c r="AV268" s="204">
        <v>67.197682838522809</v>
      </c>
      <c r="AW268" s="205">
        <v>18.537291817523531</v>
      </c>
      <c r="AX268" s="123">
        <v>7.9656000000000002</v>
      </c>
      <c r="AY268" s="281">
        <v>7.3643410852713185</v>
      </c>
      <c r="AZ268" s="282">
        <v>40.697674418604649</v>
      </c>
      <c r="BA268" s="283">
        <f t="shared" si="75"/>
        <v>51.937984496124031</v>
      </c>
      <c r="BB268" s="234">
        <v>68.61924686192468</v>
      </c>
      <c r="BC268" s="20">
        <v>2005</v>
      </c>
      <c r="BD268" s="263" t="s">
        <v>556</v>
      </c>
      <c r="BE268" s="261" t="s">
        <v>556</v>
      </c>
      <c r="BF268" s="259" t="s">
        <v>556</v>
      </c>
      <c r="BG268" s="256">
        <v>68.477429227237948</v>
      </c>
      <c r="BH268" s="248" t="s">
        <v>556</v>
      </c>
      <c r="BI268" s="249">
        <v>42.5</v>
      </c>
      <c r="BJ268" s="308" t="s">
        <v>556</v>
      </c>
      <c r="BK268" s="307" t="s">
        <v>556</v>
      </c>
      <c r="BL268" s="319" t="s">
        <v>1728</v>
      </c>
      <c r="BM268" s="320" t="s">
        <v>556</v>
      </c>
      <c r="BN268" s="321" t="s">
        <v>1847</v>
      </c>
      <c r="BO268" s="145" t="s">
        <v>556</v>
      </c>
      <c r="BP268" s="14" t="s">
        <v>556</v>
      </c>
      <c r="BQ268" s="14" t="s">
        <v>556</v>
      </c>
      <c r="BR268" s="56"/>
    </row>
    <row r="269" spans="1:70" s="56" customFormat="1" ht="13.95" customHeight="1" x14ac:dyDescent="0.3">
      <c r="A269" s="56" t="s">
        <v>459</v>
      </c>
      <c r="B269" s="57" t="s">
        <v>462</v>
      </c>
      <c r="C269" s="55" t="s">
        <v>173</v>
      </c>
      <c r="D269" s="58">
        <v>1</v>
      </c>
      <c r="E269" s="59"/>
      <c r="F269" s="60" t="s">
        <v>453</v>
      </c>
      <c r="G269" s="61" t="s">
        <v>113</v>
      </c>
      <c r="H269" s="61" t="s">
        <v>113</v>
      </c>
      <c r="I269" s="62" t="s">
        <v>113</v>
      </c>
      <c r="J269" s="63" t="s">
        <v>2487</v>
      </c>
      <c r="K269" s="99" t="s">
        <v>1125</v>
      </c>
      <c r="L269" s="130">
        <v>493533030</v>
      </c>
      <c r="M269" s="109" t="s">
        <v>564</v>
      </c>
      <c r="N269" s="12" t="s">
        <v>1124</v>
      </c>
      <c r="O269" s="100"/>
      <c r="P269" s="131">
        <v>725081064</v>
      </c>
      <c r="Q269" s="67"/>
      <c r="R269" s="68"/>
      <c r="S269" s="99"/>
      <c r="T269" s="65"/>
      <c r="U269" s="170">
        <v>297200</v>
      </c>
      <c r="V269" s="48">
        <f t="shared" si="63"/>
        <v>3002.0202020202019</v>
      </c>
      <c r="W269" s="171">
        <f t="shared" si="64"/>
        <v>682.247247136949</v>
      </c>
      <c r="X269" s="69">
        <v>11320</v>
      </c>
      <c r="Y269" s="48">
        <f t="shared" si="65"/>
        <v>114.34343434343434</v>
      </c>
      <c r="Z269" s="137">
        <f t="shared" si="66"/>
        <v>25.98599878058635</v>
      </c>
      <c r="AA269" s="69">
        <v>0</v>
      </c>
      <c r="AB269" s="48">
        <f t="shared" si="67"/>
        <v>0</v>
      </c>
      <c r="AC269" s="137">
        <f t="shared" si="68"/>
        <v>0</v>
      </c>
      <c r="AD269" s="70">
        <f t="shared" si="69"/>
        <v>308520</v>
      </c>
      <c r="AE269" s="71">
        <f t="shared" si="70"/>
        <v>3116.3636363636365</v>
      </c>
      <c r="AF269" s="193">
        <f t="shared" si="71"/>
        <v>708.23324591753533</v>
      </c>
      <c r="AG269" s="185">
        <f t="shared" si="72"/>
        <v>2.916068052930057E-2</v>
      </c>
      <c r="AH269" s="180">
        <f t="shared" si="62"/>
        <v>5.0827018121911038E-2</v>
      </c>
      <c r="AI269" s="189">
        <v>99</v>
      </c>
      <c r="AJ269" s="125">
        <v>435.61919999999998</v>
      </c>
      <c r="AK269" s="149">
        <v>91</v>
      </c>
      <c r="AL269" s="221">
        <v>27</v>
      </c>
      <c r="AM269" s="216">
        <v>90.322580645161281</v>
      </c>
      <c r="AN269" s="213">
        <v>0</v>
      </c>
      <c r="AO269" s="127">
        <v>2.1160000000000001</v>
      </c>
      <c r="AP269" s="133">
        <v>1.214</v>
      </c>
      <c r="AQ269" s="224">
        <f t="shared" si="73"/>
        <v>1</v>
      </c>
      <c r="AR269" s="158">
        <v>99</v>
      </c>
      <c r="AS269" s="229">
        <f t="shared" si="74"/>
        <v>0.42489270386266093</v>
      </c>
      <c r="AT269" s="230">
        <v>233</v>
      </c>
      <c r="AU269" s="203">
        <v>16.161616161616163</v>
      </c>
      <c r="AV269" s="204">
        <v>60.606060606060602</v>
      </c>
      <c r="AW269" s="205">
        <v>23.232323232323232</v>
      </c>
      <c r="AX269" s="123">
        <v>5</v>
      </c>
      <c r="AY269" s="281">
        <v>16.666666666666664</v>
      </c>
      <c r="AZ269" s="282">
        <v>41.666666666666671</v>
      </c>
      <c r="BA269" s="283">
        <f t="shared" si="75"/>
        <v>41.666666666666671</v>
      </c>
      <c r="BB269" s="234">
        <v>76.92307692307692</v>
      </c>
      <c r="BC269" s="20">
        <v>2005</v>
      </c>
      <c r="BD269" s="264" t="s">
        <v>557</v>
      </c>
      <c r="BE269" s="261" t="s">
        <v>556</v>
      </c>
      <c r="BF269" s="260" t="s">
        <v>557</v>
      </c>
      <c r="BG269" s="256">
        <v>35.294117647058826</v>
      </c>
      <c r="BH269" s="254" t="s">
        <v>557</v>
      </c>
      <c r="BI269" s="249">
        <v>0</v>
      </c>
      <c r="BJ269" s="308" t="s">
        <v>556</v>
      </c>
      <c r="BK269" s="307" t="s">
        <v>557</v>
      </c>
      <c r="BL269" s="319" t="s">
        <v>557</v>
      </c>
      <c r="BM269" s="320" t="s">
        <v>556</v>
      </c>
      <c r="BN269" s="321" t="s">
        <v>2050</v>
      </c>
      <c r="BO269" s="145" t="s">
        <v>557</v>
      </c>
      <c r="BP269" s="14" t="s">
        <v>556</v>
      </c>
      <c r="BQ269" s="14" t="s">
        <v>557</v>
      </c>
      <c r="BR269" s="72"/>
    </row>
    <row r="270" spans="1:70" s="56" customFormat="1" ht="13.95" customHeight="1" x14ac:dyDescent="0.3">
      <c r="A270" s="56" t="s">
        <v>459</v>
      </c>
      <c r="B270" s="57" t="s">
        <v>462</v>
      </c>
      <c r="C270" s="55" t="s">
        <v>268</v>
      </c>
      <c r="D270" s="58">
        <v>1</v>
      </c>
      <c r="E270" s="59"/>
      <c r="F270" s="60" t="s">
        <v>454</v>
      </c>
      <c r="G270" s="61" t="s">
        <v>223</v>
      </c>
      <c r="H270" s="61" t="s">
        <v>223</v>
      </c>
      <c r="I270" s="62" t="s">
        <v>223</v>
      </c>
      <c r="J270" s="63" t="s">
        <v>2177</v>
      </c>
      <c r="K270" s="99" t="s">
        <v>1334</v>
      </c>
      <c r="L270" s="130">
        <v>491528026</v>
      </c>
      <c r="M270" s="109" t="s">
        <v>564</v>
      </c>
      <c r="N270" s="12" t="s">
        <v>1332</v>
      </c>
      <c r="O270" s="100" t="s">
        <v>1333</v>
      </c>
      <c r="P270" s="131">
        <v>724186824</v>
      </c>
      <c r="Q270" s="67"/>
      <c r="R270" s="68"/>
      <c r="S270" s="99"/>
      <c r="T270" s="65"/>
      <c r="U270" s="170">
        <v>75102</v>
      </c>
      <c r="V270" s="48">
        <f t="shared" si="63"/>
        <v>209.19777158774374</v>
      </c>
      <c r="W270" s="171">
        <f t="shared" si="64"/>
        <v>70.900225741817508</v>
      </c>
      <c r="X270" s="69">
        <v>0</v>
      </c>
      <c r="Y270" s="48">
        <f t="shared" si="65"/>
        <v>0</v>
      </c>
      <c r="Z270" s="137">
        <f t="shared" si="66"/>
        <v>0</v>
      </c>
      <c r="AA270" s="69">
        <v>0</v>
      </c>
      <c r="AB270" s="48">
        <f t="shared" si="67"/>
        <v>0</v>
      </c>
      <c r="AC270" s="137">
        <f t="shared" si="68"/>
        <v>0</v>
      </c>
      <c r="AD270" s="70">
        <f t="shared" si="69"/>
        <v>75102</v>
      </c>
      <c r="AE270" s="71">
        <f t="shared" si="70"/>
        <v>209.19777158774374</v>
      </c>
      <c r="AF270" s="193">
        <f t="shared" si="71"/>
        <v>70.900225741817508</v>
      </c>
      <c r="AG270" s="185">
        <f t="shared" si="72"/>
        <v>3.111746426351771E-3</v>
      </c>
      <c r="AH270" s="180">
        <f t="shared" si="62"/>
        <v>2.1007552447552449E-2</v>
      </c>
      <c r="AI270" s="189">
        <v>359</v>
      </c>
      <c r="AJ270" s="125">
        <v>1059.2632000000001</v>
      </c>
      <c r="AK270" s="149">
        <v>153</v>
      </c>
      <c r="AL270" s="221">
        <v>111</v>
      </c>
      <c r="AM270" s="216">
        <v>81.751824817518255</v>
      </c>
      <c r="AN270" s="213">
        <v>3.0864197530864197</v>
      </c>
      <c r="AO270" s="127">
        <v>4.827</v>
      </c>
      <c r="AP270" s="133">
        <v>0.71499999999999997</v>
      </c>
      <c r="AQ270" s="224">
        <f t="shared" si="73"/>
        <v>0.98898071625344353</v>
      </c>
      <c r="AR270" s="158">
        <v>363</v>
      </c>
      <c r="AS270" s="229">
        <f t="shared" si="74"/>
        <v>0.37552301255230125</v>
      </c>
      <c r="AT270" s="230">
        <v>956</v>
      </c>
      <c r="AU270" s="203">
        <v>11.142061281337048</v>
      </c>
      <c r="AV270" s="204">
        <v>68.80222841225627</v>
      </c>
      <c r="AW270" s="205">
        <v>20.055710306406684</v>
      </c>
      <c r="AX270" s="123">
        <v>6</v>
      </c>
      <c r="AY270" s="281">
        <v>5.6603773584905666</v>
      </c>
      <c r="AZ270" s="282">
        <v>37.106918238993707</v>
      </c>
      <c r="BA270" s="283">
        <f t="shared" si="75"/>
        <v>57.232704402515729</v>
      </c>
      <c r="BB270" s="234">
        <v>94.642857142857139</v>
      </c>
      <c r="BC270" s="20">
        <v>2009</v>
      </c>
      <c r="BD270" s="263" t="s">
        <v>556</v>
      </c>
      <c r="BE270" s="261" t="s">
        <v>556</v>
      </c>
      <c r="BF270" s="259" t="s">
        <v>556</v>
      </c>
      <c r="BG270" s="257" t="s">
        <v>1686</v>
      </c>
      <c r="BH270" s="254" t="s">
        <v>557</v>
      </c>
      <c r="BI270" s="249">
        <v>0</v>
      </c>
      <c r="BJ270" s="309" t="s">
        <v>557</v>
      </c>
      <c r="BK270" s="307" t="s">
        <v>557</v>
      </c>
      <c r="BL270" s="319" t="s">
        <v>1728</v>
      </c>
      <c r="BM270" s="320" t="s">
        <v>556</v>
      </c>
      <c r="BN270" s="321" t="s">
        <v>1838</v>
      </c>
      <c r="BO270" s="145" t="s">
        <v>998</v>
      </c>
      <c r="BP270" s="14" t="s">
        <v>557</v>
      </c>
      <c r="BQ270" s="14" t="s">
        <v>557</v>
      </c>
      <c r="BR270" s="72"/>
    </row>
    <row r="271" spans="1:70" s="56" customFormat="1" ht="13.95" customHeight="1" x14ac:dyDescent="0.3">
      <c r="A271" s="56" t="s">
        <v>459</v>
      </c>
      <c r="B271" s="77" t="s">
        <v>464</v>
      </c>
      <c r="C271" s="74" t="s">
        <v>431</v>
      </c>
      <c r="D271" s="58">
        <v>2</v>
      </c>
      <c r="E271" s="59" t="s">
        <v>737</v>
      </c>
      <c r="F271" s="60" t="s">
        <v>456</v>
      </c>
      <c r="G271" s="75" t="s">
        <v>378</v>
      </c>
      <c r="H271" s="75" t="s">
        <v>532</v>
      </c>
      <c r="I271" s="76" t="s">
        <v>431</v>
      </c>
      <c r="J271" s="63" t="s">
        <v>2179</v>
      </c>
      <c r="K271" s="99" t="s">
        <v>2178</v>
      </c>
      <c r="L271" s="130">
        <v>499736336</v>
      </c>
      <c r="M271" s="109" t="s">
        <v>564</v>
      </c>
      <c r="N271" s="12" t="s">
        <v>1626</v>
      </c>
      <c r="O271" s="100" t="s">
        <v>1627</v>
      </c>
      <c r="P271" s="131"/>
      <c r="Q271" s="84"/>
      <c r="S271" s="105"/>
      <c r="T271" s="112"/>
      <c r="U271" s="170">
        <v>0</v>
      </c>
      <c r="V271" s="48">
        <f t="shared" si="63"/>
        <v>0</v>
      </c>
      <c r="W271" s="171">
        <f t="shared" si="64"/>
        <v>0</v>
      </c>
      <c r="X271" s="69">
        <v>485024</v>
      </c>
      <c r="Y271" s="48">
        <f t="shared" si="65"/>
        <v>784.82847896440126</v>
      </c>
      <c r="Z271" s="137">
        <f t="shared" si="66"/>
        <v>93.049580559961541</v>
      </c>
      <c r="AA271" s="69">
        <v>0</v>
      </c>
      <c r="AB271" s="48">
        <f t="shared" si="67"/>
        <v>0</v>
      </c>
      <c r="AC271" s="137">
        <f t="shared" si="68"/>
        <v>0</v>
      </c>
      <c r="AD271" s="70">
        <f t="shared" si="69"/>
        <v>485024</v>
      </c>
      <c r="AE271" s="71">
        <f t="shared" si="70"/>
        <v>784.82847896440126</v>
      </c>
      <c r="AF271" s="193">
        <f t="shared" si="71"/>
        <v>93.049580559961541</v>
      </c>
      <c r="AG271" s="185">
        <f t="shared" si="72"/>
        <v>6.1754243006837198E-4</v>
      </c>
      <c r="AH271" s="180">
        <f t="shared" si="62"/>
        <v>6.8450622728716086E-4</v>
      </c>
      <c r="AI271" s="189">
        <v>618</v>
      </c>
      <c r="AJ271" s="126">
        <v>5212.5329000000002</v>
      </c>
      <c r="AK271" s="150">
        <v>660</v>
      </c>
      <c r="AL271" s="221">
        <v>203</v>
      </c>
      <c r="AM271" s="216">
        <v>61.224489795918366</v>
      </c>
      <c r="AN271" s="213">
        <v>25.995807127882603</v>
      </c>
      <c r="AO271" s="128">
        <v>157.08199999999999</v>
      </c>
      <c r="AP271" s="134">
        <v>141.715</v>
      </c>
      <c r="AQ271" s="224">
        <f t="shared" si="73"/>
        <v>1.168241965973535</v>
      </c>
      <c r="AR271" s="158">
        <v>529</v>
      </c>
      <c r="AS271" s="229">
        <f t="shared" si="74"/>
        <v>0.28116469517743403</v>
      </c>
      <c r="AT271" s="230">
        <v>2198</v>
      </c>
      <c r="AU271" s="203">
        <v>11.165048543689322</v>
      </c>
      <c r="AV271" s="204">
        <v>72.491909385113274</v>
      </c>
      <c r="AW271" s="205">
        <v>16.343042071197409</v>
      </c>
      <c r="AX271" s="123">
        <v>5.9470999999999998</v>
      </c>
      <c r="AY271" s="281">
        <v>2.2883295194508007</v>
      </c>
      <c r="AZ271" s="282">
        <v>5.0343249427917618</v>
      </c>
      <c r="BA271" s="283">
        <f t="shared" si="75"/>
        <v>92.677345537757446</v>
      </c>
      <c r="BB271" s="234">
        <v>14.814814814814813</v>
      </c>
      <c r="BC271" s="20">
        <v>2011</v>
      </c>
      <c r="BD271" s="263" t="s">
        <v>556</v>
      </c>
      <c r="BE271" s="261" t="s">
        <v>556</v>
      </c>
      <c r="BF271" s="259" t="s">
        <v>556</v>
      </c>
      <c r="BG271" s="256">
        <v>69.162210338680936</v>
      </c>
      <c r="BH271" s="248" t="s">
        <v>556</v>
      </c>
      <c r="BI271" s="249">
        <v>47.679324894514771</v>
      </c>
      <c r="BJ271" s="308" t="s">
        <v>556</v>
      </c>
      <c r="BK271" s="307" t="s">
        <v>750</v>
      </c>
      <c r="BL271" s="319" t="s">
        <v>1728</v>
      </c>
      <c r="BM271" s="320" t="s">
        <v>556</v>
      </c>
      <c r="BN271" s="321" t="s">
        <v>2180</v>
      </c>
      <c r="BO271" s="145" t="s">
        <v>556</v>
      </c>
      <c r="BP271" s="14" t="s">
        <v>556</v>
      </c>
      <c r="BQ271" s="14" t="s">
        <v>557</v>
      </c>
    </row>
    <row r="272" spans="1:70" s="56" customFormat="1" ht="13.95" customHeight="1" x14ac:dyDescent="0.3">
      <c r="A272" s="56" t="s">
        <v>459</v>
      </c>
      <c r="B272" s="57" t="s">
        <v>463</v>
      </c>
      <c r="C272" s="55" t="s">
        <v>174</v>
      </c>
      <c r="D272" s="58">
        <v>8</v>
      </c>
      <c r="E272" s="59" t="s">
        <v>595</v>
      </c>
      <c r="F272" s="60" t="s">
        <v>453</v>
      </c>
      <c r="G272" s="61" t="s">
        <v>169</v>
      </c>
      <c r="H272" s="61" t="s">
        <v>169</v>
      </c>
      <c r="I272" s="62" t="s">
        <v>169</v>
      </c>
      <c r="J272" s="63" t="s">
        <v>2181</v>
      </c>
      <c r="K272" s="99" t="s">
        <v>1127</v>
      </c>
      <c r="L272" s="130">
        <v>493799170</v>
      </c>
      <c r="M272" s="109" t="s">
        <v>537</v>
      </c>
      <c r="N272" s="12" t="s">
        <v>1126</v>
      </c>
      <c r="O272" s="100"/>
      <c r="P272" s="131"/>
      <c r="Q272" s="67"/>
      <c r="R272" s="68"/>
      <c r="S272" s="99"/>
      <c r="T272" s="65"/>
      <c r="U272" s="170">
        <f>59610+57856+893800</f>
        <v>1011266</v>
      </c>
      <c r="V272" s="48">
        <f t="shared" si="63"/>
        <v>796.27244094488185</v>
      </c>
      <c r="W272" s="171">
        <f t="shared" si="64"/>
        <v>439.08670888518986</v>
      </c>
      <c r="X272" s="69">
        <f>1335639+18000</f>
        <v>1353639</v>
      </c>
      <c r="Y272" s="48">
        <f t="shared" si="65"/>
        <v>1065.8574803149606</v>
      </c>
      <c r="Z272" s="137">
        <f t="shared" si="66"/>
        <v>587.74337664733071</v>
      </c>
      <c r="AA272" s="69">
        <v>0</v>
      </c>
      <c r="AB272" s="48">
        <f t="shared" si="67"/>
        <v>0</v>
      </c>
      <c r="AC272" s="137">
        <f t="shared" si="68"/>
        <v>0</v>
      </c>
      <c r="AD272" s="70">
        <f t="shared" si="69"/>
        <v>2364905</v>
      </c>
      <c r="AE272" s="71">
        <f t="shared" si="70"/>
        <v>1862.1299212598426</v>
      </c>
      <c r="AF272" s="193">
        <f t="shared" si="71"/>
        <v>1026.8300855325206</v>
      </c>
      <c r="AG272" s="185">
        <f t="shared" si="72"/>
        <v>2.2823963711817788E-2</v>
      </c>
      <c r="AH272" s="180">
        <f t="shared" si="62"/>
        <v>0.14389443261332521</v>
      </c>
      <c r="AI272" s="189">
        <v>1270</v>
      </c>
      <c r="AJ272" s="125">
        <v>2303.1122999999998</v>
      </c>
      <c r="AK272" s="149">
        <v>767</v>
      </c>
      <c r="AL272" s="221">
        <v>379</v>
      </c>
      <c r="AM272" s="216">
        <v>82.815734989648035</v>
      </c>
      <c r="AN272" s="213">
        <v>32.287581699346404</v>
      </c>
      <c r="AO272" s="127">
        <v>20.722999999999999</v>
      </c>
      <c r="AP272" s="133">
        <v>3.2869999999999999</v>
      </c>
      <c r="AQ272" s="224">
        <f t="shared" si="73"/>
        <v>0.96504559270516721</v>
      </c>
      <c r="AR272" s="158">
        <v>1316</v>
      </c>
      <c r="AS272" s="229">
        <f t="shared" si="74"/>
        <v>0.50396825396825395</v>
      </c>
      <c r="AT272" s="230">
        <v>2520</v>
      </c>
      <c r="AU272" s="203">
        <v>14.173228346456693</v>
      </c>
      <c r="AV272" s="204">
        <v>64.803149606299201</v>
      </c>
      <c r="AW272" s="205">
        <v>21.023622047244096</v>
      </c>
      <c r="AX272" s="123">
        <v>3.1063000000000001</v>
      </c>
      <c r="AY272" s="281">
        <v>5.0173010380622838</v>
      </c>
      <c r="AZ272" s="282">
        <v>45.8477508650519</v>
      </c>
      <c r="BA272" s="283">
        <f t="shared" si="75"/>
        <v>49.134948096885815</v>
      </c>
      <c r="BB272" s="234">
        <v>72.064777327935218</v>
      </c>
      <c r="BC272" s="20">
        <v>2015</v>
      </c>
      <c r="BD272" s="263" t="s">
        <v>556</v>
      </c>
      <c r="BE272" s="261" t="s">
        <v>556</v>
      </c>
      <c r="BF272" s="259" t="s">
        <v>556</v>
      </c>
      <c r="BG272" s="256">
        <v>57.394084732214225</v>
      </c>
      <c r="BH272" s="248" t="s">
        <v>556</v>
      </c>
      <c r="BI272" s="249">
        <v>53.878942881500421</v>
      </c>
      <c r="BJ272" s="308" t="s">
        <v>556</v>
      </c>
      <c r="BK272" s="307" t="s">
        <v>556</v>
      </c>
      <c r="BL272" s="319" t="s">
        <v>1728</v>
      </c>
      <c r="BM272" s="320" t="s">
        <v>1687</v>
      </c>
      <c r="BN272" s="321" t="s">
        <v>2182</v>
      </c>
      <c r="BO272" s="145" t="s">
        <v>556</v>
      </c>
      <c r="BP272" s="14">
        <v>3</v>
      </c>
      <c r="BQ272" s="14" t="s">
        <v>557</v>
      </c>
    </row>
    <row r="273" spans="1:70" s="72" customFormat="1" ht="13.95" customHeight="1" x14ac:dyDescent="0.3">
      <c r="A273" s="56" t="s">
        <v>459</v>
      </c>
      <c r="B273" s="57" t="s">
        <v>462</v>
      </c>
      <c r="C273" s="55" t="s">
        <v>350</v>
      </c>
      <c r="D273" s="58">
        <v>1</v>
      </c>
      <c r="E273" s="59"/>
      <c r="F273" s="60" t="s">
        <v>455</v>
      </c>
      <c r="G273" s="61" t="s">
        <v>528</v>
      </c>
      <c r="H273" s="61" t="s">
        <v>527</v>
      </c>
      <c r="I273" s="62" t="s">
        <v>527</v>
      </c>
      <c r="J273" s="63" t="s">
        <v>2184</v>
      </c>
      <c r="K273" s="99" t="s">
        <v>2183</v>
      </c>
      <c r="L273" s="130">
        <v>494595148</v>
      </c>
      <c r="M273" s="109" t="s">
        <v>564</v>
      </c>
      <c r="N273" s="12" t="s">
        <v>1481</v>
      </c>
      <c r="O273" s="100" t="s">
        <v>1482</v>
      </c>
      <c r="P273" s="131"/>
      <c r="Q273" s="82"/>
      <c r="S273" s="115"/>
      <c r="T273" s="112"/>
      <c r="U273" s="170">
        <v>570000</v>
      </c>
      <c r="V273" s="48">
        <f t="shared" si="63"/>
        <v>1094.0499040307102</v>
      </c>
      <c r="W273" s="171">
        <f t="shared" si="64"/>
        <v>385.50383829940057</v>
      </c>
      <c r="X273" s="69">
        <v>63400</v>
      </c>
      <c r="Y273" s="48">
        <f t="shared" si="65"/>
        <v>121.68905950095969</v>
      </c>
      <c r="Z273" s="137">
        <f t="shared" si="66"/>
        <v>42.878847979266659</v>
      </c>
      <c r="AA273" s="69">
        <v>0</v>
      </c>
      <c r="AB273" s="48">
        <f t="shared" si="67"/>
        <v>0</v>
      </c>
      <c r="AC273" s="137">
        <f t="shared" si="68"/>
        <v>0</v>
      </c>
      <c r="AD273" s="70">
        <f t="shared" si="69"/>
        <v>633400</v>
      </c>
      <c r="AE273" s="71">
        <f t="shared" si="70"/>
        <v>1215.7389635316699</v>
      </c>
      <c r="AF273" s="193">
        <f t="shared" si="71"/>
        <v>428.38268627866722</v>
      </c>
      <c r="AG273" s="185">
        <f t="shared" si="72"/>
        <v>1.2085479870253768E-2</v>
      </c>
      <c r="AH273" s="180">
        <f t="shared" si="62"/>
        <v>1.6789927104042413E-2</v>
      </c>
      <c r="AI273" s="189">
        <v>521</v>
      </c>
      <c r="AJ273" s="125">
        <v>1478.5844999999999</v>
      </c>
      <c r="AK273" s="149">
        <v>354</v>
      </c>
      <c r="AL273" s="221">
        <v>141</v>
      </c>
      <c r="AM273" s="216">
        <v>83.333333333333343</v>
      </c>
      <c r="AN273" s="213">
        <v>28.474576271186443</v>
      </c>
      <c r="AO273" s="127">
        <v>10.481999999999999</v>
      </c>
      <c r="AP273" s="133">
        <v>7.5449999999999999</v>
      </c>
      <c r="AQ273" s="224">
        <f t="shared" si="73"/>
        <v>1.0876826722338204</v>
      </c>
      <c r="AR273" s="158">
        <v>479</v>
      </c>
      <c r="AS273" s="229">
        <f t="shared" si="74"/>
        <v>0.58473625140291807</v>
      </c>
      <c r="AT273" s="230">
        <v>891</v>
      </c>
      <c r="AU273" s="203">
        <v>18.426103646833013</v>
      </c>
      <c r="AV273" s="204">
        <v>65.834932821497119</v>
      </c>
      <c r="AW273" s="205">
        <v>15.738963531669867</v>
      </c>
      <c r="AX273" s="123">
        <v>2.6086999999999998</v>
      </c>
      <c r="AY273" s="281">
        <v>12.328767123287671</v>
      </c>
      <c r="AZ273" s="282">
        <v>35.159817351598171</v>
      </c>
      <c r="BA273" s="283">
        <f t="shared" si="75"/>
        <v>52.511415525114153</v>
      </c>
      <c r="BB273" s="234">
        <v>89.333333333333329</v>
      </c>
      <c r="BC273" s="20">
        <v>2008</v>
      </c>
      <c r="BD273" s="263" t="s">
        <v>556</v>
      </c>
      <c r="BE273" s="261" t="s">
        <v>556</v>
      </c>
      <c r="BF273" s="259" t="s">
        <v>556</v>
      </c>
      <c r="BG273" s="256">
        <v>24.497991967871485</v>
      </c>
      <c r="BH273" s="254" t="s">
        <v>557</v>
      </c>
      <c r="BI273" s="249">
        <v>0</v>
      </c>
      <c r="BJ273" s="308" t="s">
        <v>556</v>
      </c>
      <c r="BK273" s="307" t="s">
        <v>750</v>
      </c>
      <c r="BL273" s="319" t="s">
        <v>1728</v>
      </c>
      <c r="BM273" s="320" t="s">
        <v>556</v>
      </c>
      <c r="BN273" s="321" t="s">
        <v>1957</v>
      </c>
      <c r="BO273" s="145" t="s">
        <v>556</v>
      </c>
      <c r="BP273" s="14" t="s">
        <v>556</v>
      </c>
      <c r="BQ273" s="14" t="s">
        <v>556</v>
      </c>
      <c r="BR273" s="56"/>
    </row>
    <row r="274" spans="1:70" s="56" customFormat="1" ht="13.95" customHeight="1" x14ac:dyDescent="0.3">
      <c r="A274" s="56" t="s">
        <v>459</v>
      </c>
      <c r="B274" s="57" t="s">
        <v>462</v>
      </c>
      <c r="C274" s="55" t="s">
        <v>75</v>
      </c>
      <c r="D274" s="58">
        <v>2</v>
      </c>
      <c r="E274" s="59" t="s">
        <v>486</v>
      </c>
      <c r="F274" s="60" t="s">
        <v>452</v>
      </c>
      <c r="G274" s="61" t="s">
        <v>7</v>
      </c>
      <c r="H274" s="61" t="s">
        <v>7</v>
      </c>
      <c r="I274" s="62" t="s">
        <v>7</v>
      </c>
      <c r="J274" s="63" t="s">
        <v>2185</v>
      </c>
      <c r="K274" s="99" t="s">
        <v>926</v>
      </c>
      <c r="L274" s="130">
        <v>495445126</v>
      </c>
      <c r="M274" s="109" t="s">
        <v>564</v>
      </c>
      <c r="N274" s="12" t="s">
        <v>927</v>
      </c>
      <c r="O274" s="100"/>
      <c r="P274" s="131">
        <v>773119490</v>
      </c>
      <c r="Q274" s="67"/>
      <c r="R274" s="68"/>
      <c r="S274" s="99"/>
      <c r="T274" s="65"/>
      <c r="U274" s="170">
        <f>570000+188783</f>
        <v>758783</v>
      </c>
      <c r="V274" s="48">
        <f t="shared" si="63"/>
        <v>2729.4352517985612</v>
      </c>
      <c r="W274" s="171">
        <f t="shared" si="64"/>
        <v>764.83375278503297</v>
      </c>
      <c r="X274" s="69">
        <v>169920</v>
      </c>
      <c r="Y274" s="48">
        <f t="shared" si="65"/>
        <v>611.22302158273385</v>
      </c>
      <c r="Z274" s="137">
        <f t="shared" si="66"/>
        <v>171.27499070647707</v>
      </c>
      <c r="AA274" s="69">
        <v>0</v>
      </c>
      <c r="AB274" s="48">
        <f t="shared" si="67"/>
        <v>0</v>
      </c>
      <c r="AC274" s="137">
        <f t="shared" si="68"/>
        <v>0</v>
      </c>
      <c r="AD274" s="70">
        <f t="shared" si="69"/>
        <v>928703</v>
      </c>
      <c r="AE274" s="71">
        <f t="shared" si="70"/>
        <v>3340.6582733812947</v>
      </c>
      <c r="AF274" s="193">
        <f t="shared" si="71"/>
        <v>936.10874349151004</v>
      </c>
      <c r="AG274" s="185">
        <f t="shared" si="72"/>
        <v>3.7215107192947308E-2</v>
      </c>
      <c r="AH274" s="180">
        <f t="shared" si="62"/>
        <v>0.17407741330834114</v>
      </c>
      <c r="AI274" s="189">
        <v>278</v>
      </c>
      <c r="AJ274" s="125">
        <v>992.08879999999999</v>
      </c>
      <c r="AK274" s="149">
        <v>135</v>
      </c>
      <c r="AL274" s="221">
        <v>69</v>
      </c>
      <c r="AM274" s="216">
        <v>79.166666666666657</v>
      </c>
      <c r="AN274" s="213">
        <v>28.965517241379306</v>
      </c>
      <c r="AO274" s="127">
        <v>4.9909999999999997</v>
      </c>
      <c r="AP274" s="133">
        <v>1.0669999999999999</v>
      </c>
      <c r="AQ274" s="224">
        <f t="shared" si="73"/>
        <v>1.2522522522522523</v>
      </c>
      <c r="AR274" s="158">
        <v>222</v>
      </c>
      <c r="AS274" s="229">
        <f t="shared" si="74"/>
        <v>0.49203539823008852</v>
      </c>
      <c r="AT274" s="230">
        <v>565</v>
      </c>
      <c r="AU274" s="203">
        <v>16.187050359712231</v>
      </c>
      <c r="AV274" s="204">
        <v>66.187050359712231</v>
      </c>
      <c r="AW274" s="205">
        <v>17.625899280575538</v>
      </c>
      <c r="AX274" s="123">
        <v>4.8128000000000002</v>
      </c>
      <c r="AY274" s="281">
        <v>10.679611650485436</v>
      </c>
      <c r="AZ274" s="282">
        <v>27.184466019417474</v>
      </c>
      <c r="BA274" s="283">
        <f t="shared" si="75"/>
        <v>62.135922330097088</v>
      </c>
      <c r="BB274" s="234">
        <v>77.35849056603773</v>
      </c>
      <c r="BC274" s="20">
        <v>2009</v>
      </c>
      <c r="BD274" s="263" t="s">
        <v>556</v>
      </c>
      <c r="BE274" s="261" t="s">
        <v>556</v>
      </c>
      <c r="BF274" s="259" t="s">
        <v>556</v>
      </c>
      <c r="BG274" s="256">
        <v>90.283400809716596</v>
      </c>
      <c r="BH274" s="248" t="s">
        <v>556</v>
      </c>
      <c r="BI274" s="249">
        <v>72.340425531914903</v>
      </c>
      <c r="BJ274" s="308" t="s">
        <v>556</v>
      </c>
      <c r="BK274" s="307" t="s">
        <v>557</v>
      </c>
      <c r="BL274" s="319" t="s">
        <v>1728</v>
      </c>
      <c r="BM274" s="320" t="s">
        <v>556</v>
      </c>
      <c r="BN274" s="321" t="s">
        <v>1838</v>
      </c>
      <c r="BO274" s="145" t="s">
        <v>556</v>
      </c>
      <c r="BP274" s="14" t="s">
        <v>556</v>
      </c>
      <c r="BQ274" s="14" t="s">
        <v>557</v>
      </c>
    </row>
    <row r="275" spans="1:70" s="72" customFormat="1" ht="13.95" customHeight="1" x14ac:dyDescent="0.3">
      <c r="A275" s="56" t="s">
        <v>459</v>
      </c>
      <c r="B275" s="57" t="s">
        <v>462</v>
      </c>
      <c r="C275" s="55" t="s">
        <v>175</v>
      </c>
      <c r="D275" s="58">
        <v>1</v>
      </c>
      <c r="E275" s="59"/>
      <c r="F275" s="60" t="s">
        <v>453</v>
      </c>
      <c r="G275" s="61" t="s">
        <v>117</v>
      </c>
      <c r="H275" s="61" t="s">
        <v>117</v>
      </c>
      <c r="I275" s="62" t="s">
        <v>117</v>
      </c>
      <c r="J275" s="63" t="s">
        <v>2186</v>
      </c>
      <c r="K275" s="99" t="s">
        <v>1128</v>
      </c>
      <c r="L275" s="130"/>
      <c r="M275" s="109" t="s">
        <v>537</v>
      </c>
      <c r="N275" s="12" t="s">
        <v>774</v>
      </c>
      <c r="O275" s="100"/>
      <c r="P275" s="131">
        <v>605213867</v>
      </c>
      <c r="Q275" s="67"/>
      <c r="R275" s="68"/>
      <c r="S275" s="99"/>
      <c r="T275" s="65"/>
      <c r="U275" s="170">
        <v>600000</v>
      </c>
      <c r="V275" s="48">
        <f t="shared" si="63"/>
        <v>13333.333333333334</v>
      </c>
      <c r="W275" s="171">
        <f t="shared" si="64"/>
        <v>3073.3154773704096</v>
      </c>
      <c r="X275" s="69">
        <v>0</v>
      </c>
      <c r="Y275" s="48">
        <f t="shared" si="65"/>
        <v>0</v>
      </c>
      <c r="Z275" s="137">
        <f t="shared" si="66"/>
        <v>0</v>
      </c>
      <c r="AA275" s="69">
        <v>2100000</v>
      </c>
      <c r="AB275" s="48">
        <f t="shared" si="67"/>
        <v>46666.666666666664</v>
      </c>
      <c r="AC275" s="137">
        <f t="shared" si="68"/>
        <v>10756.604170796434</v>
      </c>
      <c r="AD275" s="70">
        <f t="shared" si="69"/>
        <v>2700000</v>
      </c>
      <c r="AE275" s="71">
        <f t="shared" si="70"/>
        <v>60000</v>
      </c>
      <c r="AF275" s="193">
        <f t="shared" si="71"/>
        <v>13829.919648166844</v>
      </c>
      <c r="AG275" s="185">
        <f t="shared" si="72"/>
        <v>0.33271719038817005</v>
      </c>
      <c r="AH275" s="180">
        <f t="shared" si="62"/>
        <v>0.40059347181008897</v>
      </c>
      <c r="AI275" s="189">
        <v>45</v>
      </c>
      <c r="AJ275" s="125">
        <v>195.22890000000001</v>
      </c>
      <c r="AK275" s="149">
        <v>29</v>
      </c>
      <c r="AL275" s="221">
        <v>15</v>
      </c>
      <c r="AM275" s="216">
        <v>93.75</v>
      </c>
      <c r="AN275" s="213">
        <v>28.571428571428573</v>
      </c>
      <c r="AO275" s="127">
        <v>1.623</v>
      </c>
      <c r="AP275" s="133">
        <v>1.3480000000000001</v>
      </c>
      <c r="AQ275" s="224">
        <f t="shared" si="73"/>
        <v>1.2162162162162162</v>
      </c>
      <c r="AR275" s="158">
        <v>37</v>
      </c>
      <c r="AS275" s="229">
        <f t="shared" si="74"/>
        <v>0.38793103448275862</v>
      </c>
      <c r="AT275" s="230">
        <v>116</v>
      </c>
      <c r="AU275" s="203">
        <v>13.333333333333334</v>
      </c>
      <c r="AV275" s="204">
        <v>62.222222222222229</v>
      </c>
      <c r="AW275" s="205">
        <v>24.444444444444443</v>
      </c>
      <c r="AX275" s="123">
        <v>12.5</v>
      </c>
      <c r="AY275" s="281">
        <v>36.363636363636367</v>
      </c>
      <c r="AZ275" s="282">
        <v>9.0909090909090917</v>
      </c>
      <c r="BA275" s="283">
        <f t="shared" si="75"/>
        <v>54.54545454545454</v>
      </c>
      <c r="BB275" s="234">
        <v>14.285714285714285</v>
      </c>
      <c r="BC275" s="20">
        <v>2011</v>
      </c>
      <c r="BD275" s="263" t="s">
        <v>556</v>
      </c>
      <c r="BE275" s="262" t="s">
        <v>557</v>
      </c>
      <c r="BF275" s="260" t="s">
        <v>557</v>
      </c>
      <c r="BG275" s="256">
        <v>0</v>
      </c>
      <c r="BH275" s="248" t="s">
        <v>556</v>
      </c>
      <c r="BI275" s="249">
        <v>43.902439024390247</v>
      </c>
      <c r="BJ275" s="309" t="s">
        <v>557</v>
      </c>
      <c r="BK275" s="307" t="s">
        <v>557</v>
      </c>
      <c r="BL275" s="319" t="s">
        <v>557</v>
      </c>
      <c r="BM275" s="320" t="s">
        <v>557</v>
      </c>
      <c r="BN275" s="321" t="s">
        <v>557</v>
      </c>
      <c r="BO275" s="145" t="s">
        <v>557</v>
      </c>
      <c r="BP275" s="14" t="s">
        <v>557</v>
      </c>
      <c r="BQ275" s="14" t="s">
        <v>557</v>
      </c>
      <c r="BR275" s="56"/>
    </row>
    <row r="276" spans="1:70" s="72" customFormat="1" ht="13.95" customHeight="1" x14ac:dyDescent="0.3">
      <c r="A276" s="56" t="s">
        <v>459</v>
      </c>
      <c r="B276" s="77" t="s">
        <v>464</v>
      </c>
      <c r="C276" s="74" t="s">
        <v>432</v>
      </c>
      <c r="D276" s="58">
        <v>1</v>
      </c>
      <c r="E276" s="59"/>
      <c r="F276" s="60" t="s">
        <v>456</v>
      </c>
      <c r="G276" s="75" t="s">
        <v>378</v>
      </c>
      <c r="H276" s="75" t="s">
        <v>378</v>
      </c>
      <c r="I276" s="76" t="s">
        <v>378</v>
      </c>
      <c r="J276" s="63" t="s">
        <v>2190</v>
      </c>
      <c r="K276" s="99" t="s">
        <v>2187</v>
      </c>
      <c r="L276" s="130">
        <v>499898921</v>
      </c>
      <c r="M276" s="109" t="s">
        <v>564</v>
      </c>
      <c r="N276" s="12" t="s">
        <v>1628</v>
      </c>
      <c r="O276" s="100" t="s">
        <v>1629</v>
      </c>
      <c r="P276" s="131" t="s">
        <v>2188</v>
      </c>
      <c r="Q276" s="84"/>
      <c r="R276" s="56"/>
      <c r="S276" s="105"/>
      <c r="T276" s="112"/>
      <c r="U276" s="170">
        <v>0</v>
      </c>
      <c r="V276" s="48">
        <f t="shared" si="63"/>
        <v>0</v>
      </c>
      <c r="W276" s="171">
        <f t="shared" si="64"/>
        <v>0</v>
      </c>
      <c r="X276" s="69">
        <f>156600+10000</f>
        <v>166600</v>
      </c>
      <c r="Y276" s="48">
        <f t="shared" si="65"/>
        <v>133.92282958199357</v>
      </c>
      <c r="Z276" s="137">
        <f t="shared" si="66"/>
        <v>98.057346243314768</v>
      </c>
      <c r="AA276" s="69">
        <v>0</v>
      </c>
      <c r="AB276" s="48">
        <f t="shared" si="67"/>
        <v>0</v>
      </c>
      <c r="AC276" s="137">
        <f t="shared" si="68"/>
        <v>0</v>
      </c>
      <c r="AD276" s="70">
        <f t="shared" si="69"/>
        <v>166600</v>
      </c>
      <c r="AE276" s="71">
        <f t="shared" si="70"/>
        <v>133.92282958199357</v>
      </c>
      <c r="AF276" s="193">
        <f t="shared" si="71"/>
        <v>98.057346243314768</v>
      </c>
      <c r="AG276" s="185">
        <f t="shared" si="72"/>
        <v>1.922566499336449E-3</v>
      </c>
      <c r="AH276" s="180">
        <f t="shared" si="62"/>
        <v>3.8875277097188197E-3</v>
      </c>
      <c r="AI276" s="189">
        <v>1244</v>
      </c>
      <c r="AJ276" s="126">
        <v>1699.0057999999999</v>
      </c>
      <c r="AK276" s="150">
        <v>372</v>
      </c>
      <c r="AL276" s="221">
        <v>285</v>
      </c>
      <c r="AM276" s="216">
        <v>64.770240700218821</v>
      </c>
      <c r="AN276" s="213">
        <v>3.5984848484848491</v>
      </c>
      <c r="AO276" s="128">
        <v>17.331</v>
      </c>
      <c r="AP276" s="134">
        <v>8.5709999999999997</v>
      </c>
      <c r="AQ276" s="224">
        <f t="shared" si="73"/>
        <v>1.1658856607310215</v>
      </c>
      <c r="AR276" s="158">
        <v>1067</v>
      </c>
      <c r="AS276" s="229">
        <f t="shared" si="74"/>
        <v>0.68653421633554079</v>
      </c>
      <c r="AT276" s="230">
        <v>1812</v>
      </c>
      <c r="AU276" s="203">
        <v>17.282958199356912</v>
      </c>
      <c r="AV276" s="204">
        <v>65.353697749196144</v>
      </c>
      <c r="AW276" s="205">
        <v>17.363344051446948</v>
      </c>
      <c r="AX276" s="123">
        <v>4.1353</v>
      </c>
      <c r="AY276" s="281">
        <v>3.8986354775828458</v>
      </c>
      <c r="AZ276" s="282">
        <v>31.578947368421051</v>
      </c>
      <c r="BA276" s="283">
        <f t="shared" si="75"/>
        <v>64.522417153996102</v>
      </c>
      <c r="BB276" s="234">
        <v>78.733031674208149</v>
      </c>
      <c r="BC276" s="20">
        <v>1986</v>
      </c>
      <c r="BD276" s="263" t="s">
        <v>556</v>
      </c>
      <c r="BE276" s="262" t="s">
        <v>557</v>
      </c>
      <c r="BF276" s="260" t="s">
        <v>557</v>
      </c>
      <c r="BG276" s="256">
        <v>0</v>
      </c>
      <c r="BH276" s="248" t="s">
        <v>556</v>
      </c>
      <c r="BI276" s="249">
        <v>49.629629629629626</v>
      </c>
      <c r="BJ276" s="308" t="s">
        <v>556</v>
      </c>
      <c r="BK276" s="307" t="s">
        <v>556</v>
      </c>
      <c r="BL276" s="319" t="s">
        <v>1728</v>
      </c>
      <c r="BM276" s="320" t="s">
        <v>556</v>
      </c>
      <c r="BN276" s="321" t="s">
        <v>1814</v>
      </c>
      <c r="BO276" s="145" t="s">
        <v>556</v>
      </c>
      <c r="BP276" s="14" t="s">
        <v>556</v>
      </c>
      <c r="BQ276" s="14" t="s">
        <v>556</v>
      </c>
      <c r="BR276" s="56"/>
    </row>
    <row r="277" spans="1:70" s="56" customFormat="1" ht="13.95" customHeight="1" x14ac:dyDescent="0.3">
      <c r="A277" s="56" t="s">
        <v>459</v>
      </c>
      <c r="B277" s="57" t="s">
        <v>462</v>
      </c>
      <c r="C277" s="55" t="s">
        <v>76</v>
      </c>
      <c r="D277" s="58">
        <v>1</v>
      </c>
      <c r="E277" s="59"/>
      <c r="F277" s="60" t="s">
        <v>452</v>
      </c>
      <c r="G277" s="61" t="s">
        <v>11</v>
      </c>
      <c r="H277" s="61" t="s">
        <v>524</v>
      </c>
      <c r="I277" s="62" t="s">
        <v>524</v>
      </c>
      <c r="J277" s="63" t="s">
        <v>2189</v>
      </c>
      <c r="K277" s="99" t="s">
        <v>2191</v>
      </c>
      <c r="L277" s="130">
        <v>495486310</v>
      </c>
      <c r="M277" s="109" t="s">
        <v>564</v>
      </c>
      <c r="N277" s="12" t="s">
        <v>928</v>
      </c>
      <c r="O277" s="100"/>
      <c r="P277" s="131">
        <v>777751067</v>
      </c>
      <c r="Q277" s="67"/>
      <c r="R277" s="68"/>
      <c r="S277" s="99"/>
      <c r="T277" s="65"/>
      <c r="U277" s="170">
        <v>0</v>
      </c>
      <c r="V277" s="48">
        <f t="shared" si="63"/>
        <v>0</v>
      </c>
      <c r="W277" s="171">
        <f t="shared" si="64"/>
        <v>0</v>
      </c>
      <c r="X277" s="69">
        <v>0</v>
      </c>
      <c r="Y277" s="48">
        <f t="shared" si="65"/>
        <v>0</v>
      </c>
      <c r="Z277" s="137">
        <f t="shared" si="66"/>
        <v>0</v>
      </c>
      <c r="AA277" s="69">
        <v>0</v>
      </c>
      <c r="AB277" s="48">
        <f t="shared" si="67"/>
        <v>0</v>
      </c>
      <c r="AC277" s="137">
        <f t="shared" si="68"/>
        <v>0</v>
      </c>
      <c r="AD277" s="70">
        <f t="shared" si="69"/>
        <v>0</v>
      </c>
      <c r="AE277" s="71">
        <f t="shared" si="70"/>
        <v>0</v>
      </c>
      <c r="AF277" s="193">
        <f t="shared" si="71"/>
        <v>0</v>
      </c>
      <c r="AG277" s="185">
        <f t="shared" si="72"/>
        <v>0</v>
      </c>
      <c r="AH277" s="180">
        <f t="shared" si="62"/>
        <v>0</v>
      </c>
      <c r="AI277" s="189">
        <v>252</v>
      </c>
      <c r="AJ277" s="125">
        <v>434.56400000000002</v>
      </c>
      <c r="AK277" s="149">
        <v>123</v>
      </c>
      <c r="AL277" s="221">
        <v>75</v>
      </c>
      <c r="AM277" s="216">
        <v>93.975903614457835</v>
      </c>
      <c r="AN277" s="213">
        <v>17.355371900826448</v>
      </c>
      <c r="AO277" s="127">
        <v>1.68</v>
      </c>
      <c r="AP277" s="133">
        <v>0.66500000000000004</v>
      </c>
      <c r="AQ277" s="224">
        <f t="shared" si="73"/>
        <v>1.1666666666666667</v>
      </c>
      <c r="AR277" s="158">
        <v>216</v>
      </c>
      <c r="AS277" s="229">
        <f t="shared" si="74"/>
        <v>0.5901639344262295</v>
      </c>
      <c r="AT277" s="230">
        <v>427</v>
      </c>
      <c r="AU277" s="203">
        <v>16.269841269841269</v>
      </c>
      <c r="AV277" s="204">
        <v>61.111111111111114</v>
      </c>
      <c r="AW277" s="205">
        <v>22.61904761904762</v>
      </c>
      <c r="AX277" s="123">
        <v>8.7248000000000001</v>
      </c>
      <c r="AY277" s="281">
        <v>8.6419753086419746</v>
      </c>
      <c r="AZ277" s="282">
        <v>37.037037037037038</v>
      </c>
      <c r="BA277" s="283">
        <f t="shared" si="75"/>
        <v>54.320987654320987</v>
      </c>
      <c r="BB277" s="234">
        <v>80</v>
      </c>
      <c r="BC277" s="20">
        <v>2014</v>
      </c>
      <c r="BD277" s="263" t="s">
        <v>556</v>
      </c>
      <c r="BE277" s="261" t="s">
        <v>556</v>
      </c>
      <c r="BF277" s="260" t="s">
        <v>557</v>
      </c>
      <c r="BG277" s="256">
        <v>23.222748815165879</v>
      </c>
      <c r="BH277" s="248" t="s">
        <v>556</v>
      </c>
      <c r="BI277" s="249">
        <v>73.300970873786412</v>
      </c>
      <c r="BJ277" s="309" t="s">
        <v>557</v>
      </c>
      <c r="BK277" s="307" t="s">
        <v>557</v>
      </c>
      <c r="BL277" s="319" t="s">
        <v>1728</v>
      </c>
      <c r="BM277" s="320" t="s">
        <v>556</v>
      </c>
      <c r="BN277" s="321" t="s">
        <v>1838</v>
      </c>
      <c r="BO277" s="145" t="s">
        <v>557</v>
      </c>
      <c r="BP277" s="14" t="s">
        <v>556</v>
      </c>
      <c r="BQ277" s="14" t="s">
        <v>557</v>
      </c>
    </row>
    <row r="278" spans="1:70" s="72" customFormat="1" ht="13.95" customHeight="1" x14ac:dyDescent="0.3">
      <c r="A278" s="56" t="s">
        <v>459</v>
      </c>
      <c r="B278" s="57" t="s">
        <v>462</v>
      </c>
      <c r="C278" s="55" t="s">
        <v>351</v>
      </c>
      <c r="D278" s="58">
        <v>3</v>
      </c>
      <c r="E278" s="59" t="s">
        <v>705</v>
      </c>
      <c r="F278" s="60" t="s">
        <v>455</v>
      </c>
      <c r="G278" s="61" t="s">
        <v>304</v>
      </c>
      <c r="H278" s="61" t="s">
        <v>304</v>
      </c>
      <c r="I278" s="62" t="s">
        <v>304</v>
      </c>
      <c r="J278" s="63" t="s">
        <v>2193</v>
      </c>
      <c r="K278" s="99" t="s">
        <v>2192</v>
      </c>
      <c r="L278" s="130">
        <v>494666220</v>
      </c>
      <c r="M278" s="109" t="s">
        <v>564</v>
      </c>
      <c r="N278" s="12" t="s">
        <v>1483</v>
      </c>
      <c r="O278" s="100" t="s">
        <v>1484</v>
      </c>
      <c r="P278" s="131">
        <v>606828507</v>
      </c>
      <c r="Q278" s="84"/>
      <c r="R278" s="56"/>
      <c r="S278" s="105"/>
      <c r="T278" s="112"/>
      <c r="U278" s="170">
        <f>97000+73000+642157</f>
        <v>812157</v>
      </c>
      <c r="V278" s="48">
        <f t="shared" si="63"/>
        <v>1479.3387978142077</v>
      </c>
      <c r="W278" s="171">
        <f t="shared" si="64"/>
        <v>1032.8523444013692</v>
      </c>
      <c r="X278" s="69">
        <v>152000</v>
      </c>
      <c r="Y278" s="48">
        <f t="shared" si="65"/>
        <v>276.86703096539162</v>
      </c>
      <c r="Z278" s="137">
        <f t="shared" si="66"/>
        <v>193.30444279740016</v>
      </c>
      <c r="AA278" s="69">
        <v>0</v>
      </c>
      <c r="AB278" s="48">
        <f t="shared" si="67"/>
        <v>0</v>
      </c>
      <c r="AC278" s="137">
        <f t="shared" si="68"/>
        <v>0</v>
      </c>
      <c r="AD278" s="70">
        <f t="shared" si="69"/>
        <v>964157</v>
      </c>
      <c r="AE278" s="71">
        <f t="shared" si="70"/>
        <v>1756.2058287795992</v>
      </c>
      <c r="AF278" s="193">
        <f t="shared" si="71"/>
        <v>1226.1567871987695</v>
      </c>
      <c r="AG278" s="185">
        <f t="shared" si="72"/>
        <v>1.9116823634380886E-2</v>
      </c>
      <c r="AH278" s="180">
        <f t="shared" si="62"/>
        <v>4.9698814432989687E-2</v>
      </c>
      <c r="AI278" s="189">
        <v>549</v>
      </c>
      <c r="AJ278" s="125">
        <v>786.32439999999997</v>
      </c>
      <c r="AK278" s="149">
        <v>219</v>
      </c>
      <c r="AL278" s="221">
        <v>137</v>
      </c>
      <c r="AM278" s="216">
        <v>82.741116751269033</v>
      </c>
      <c r="AN278" s="213">
        <v>12.773722627737227</v>
      </c>
      <c r="AO278" s="127">
        <v>10.087</v>
      </c>
      <c r="AP278" s="133">
        <v>3.88</v>
      </c>
      <c r="AQ278" s="224">
        <f t="shared" si="73"/>
        <v>1.196078431372549</v>
      </c>
      <c r="AR278" s="158">
        <v>459</v>
      </c>
      <c r="AS278" s="229">
        <f t="shared" si="74"/>
        <v>0.69493670886075953</v>
      </c>
      <c r="AT278" s="230">
        <v>790</v>
      </c>
      <c r="AU278" s="203">
        <v>20.582877959927139</v>
      </c>
      <c r="AV278" s="204">
        <v>63.570127504553724</v>
      </c>
      <c r="AW278" s="205">
        <v>15.846994535519126</v>
      </c>
      <c r="AX278" s="123">
        <v>1.7192000000000001</v>
      </c>
      <c r="AY278" s="281">
        <v>8.2644628099173563</v>
      </c>
      <c r="AZ278" s="282">
        <v>46.280991735537192</v>
      </c>
      <c r="BA278" s="283">
        <f t="shared" si="75"/>
        <v>45.454545454545446</v>
      </c>
      <c r="BB278" s="234">
        <v>76.92307692307692</v>
      </c>
      <c r="BC278" s="20">
        <v>1995</v>
      </c>
      <c r="BD278" s="263" t="s">
        <v>556</v>
      </c>
      <c r="BE278" s="261" t="s">
        <v>556</v>
      </c>
      <c r="BF278" s="259" t="s">
        <v>556</v>
      </c>
      <c r="BG278" s="256">
        <v>19.54459203036053</v>
      </c>
      <c r="BH278" s="254" t="s">
        <v>557</v>
      </c>
      <c r="BI278" s="249">
        <v>0</v>
      </c>
      <c r="BJ278" s="308" t="s">
        <v>556</v>
      </c>
      <c r="BK278" s="307" t="s">
        <v>750</v>
      </c>
      <c r="BL278" s="319" t="s">
        <v>1728</v>
      </c>
      <c r="BM278" s="320" t="s">
        <v>556</v>
      </c>
      <c r="BN278" s="321" t="s">
        <v>1803</v>
      </c>
      <c r="BO278" s="145" t="s">
        <v>556</v>
      </c>
      <c r="BP278" s="14" t="s">
        <v>557</v>
      </c>
      <c r="BQ278" s="14" t="s">
        <v>557</v>
      </c>
      <c r="BR278" s="56"/>
    </row>
    <row r="279" spans="1:70" s="56" customFormat="1" ht="13.95" customHeight="1" x14ac:dyDescent="0.3">
      <c r="A279" s="56" t="s">
        <v>459</v>
      </c>
      <c r="B279" s="57" t="s">
        <v>462</v>
      </c>
      <c r="C279" s="55" t="s">
        <v>176</v>
      </c>
      <c r="D279" s="58">
        <v>2</v>
      </c>
      <c r="E279" s="342"/>
      <c r="F279" s="60" t="s">
        <v>453</v>
      </c>
      <c r="G279" s="61" t="s">
        <v>117</v>
      </c>
      <c r="H279" s="61" t="s">
        <v>117</v>
      </c>
      <c r="I279" s="62" t="s">
        <v>117</v>
      </c>
      <c r="J279" s="63" t="s">
        <v>2194</v>
      </c>
      <c r="K279" s="99" t="s">
        <v>1130</v>
      </c>
      <c r="L279" s="131">
        <v>493697161</v>
      </c>
      <c r="M279" s="109" t="s">
        <v>564</v>
      </c>
      <c r="N279" s="12" t="s">
        <v>1129</v>
      </c>
      <c r="O279" s="100"/>
      <c r="P279" s="131">
        <v>604966007</v>
      </c>
      <c r="Q279" s="67"/>
      <c r="R279" s="68"/>
      <c r="S279" s="99"/>
      <c r="T279" s="65"/>
      <c r="U279" s="170">
        <v>0</v>
      </c>
      <c r="V279" s="48">
        <f t="shared" si="63"/>
        <v>0</v>
      </c>
      <c r="W279" s="171">
        <f t="shared" si="64"/>
        <v>0</v>
      </c>
      <c r="X279" s="69">
        <v>142780</v>
      </c>
      <c r="Y279" s="48">
        <f t="shared" si="65"/>
        <v>223.44287949921753</v>
      </c>
      <c r="Z279" s="137">
        <f t="shared" si="66"/>
        <v>207.46197632306414</v>
      </c>
      <c r="AA279" s="69">
        <v>0</v>
      </c>
      <c r="AB279" s="48">
        <f t="shared" si="67"/>
        <v>0</v>
      </c>
      <c r="AC279" s="137">
        <f t="shared" si="68"/>
        <v>0</v>
      </c>
      <c r="AD279" s="70">
        <f t="shared" si="69"/>
        <v>142780</v>
      </c>
      <c r="AE279" s="71">
        <f t="shared" si="70"/>
        <v>223.44287949921753</v>
      </c>
      <c r="AF279" s="193">
        <f t="shared" si="71"/>
        <v>207.46197632306414</v>
      </c>
      <c r="AG279" s="185">
        <f t="shared" si="72"/>
        <v>5.2940304041527624E-3</v>
      </c>
      <c r="AH279" s="180">
        <f t="shared" si="62"/>
        <v>8.0666666666666664E-2</v>
      </c>
      <c r="AI279" s="189">
        <v>639</v>
      </c>
      <c r="AJ279" s="125">
        <v>688.22249999999997</v>
      </c>
      <c r="AK279" s="149">
        <v>342</v>
      </c>
      <c r="AL279" s="221">
        <v>189</v>
      </c>
      <c r="AM279" s="216">
        <v>97.663551401869171</v>
      </c>
      <c r="AN279" s="213">
        <v>34.180790960451979</v>
      </c>
      <c r="AO279" s="127">
        <v>5.3940000000000001</v>
      </c>
      <c r="AP279" s="133">
        <v>0.35399999999999998</v>
      </c>
      <c r="AQ279" s="224">
        <f t="shared" si="73"/>
        <v>1.0923076923076922</v>
      </c>
      <c r="AR279" s="158">
        <v>585</v>
      </c>
      <c r="AS279" s="229">
        <f t="shared" si="74"/>
        <v>0.57360861759425497</v>
      </c>
      <c r="AT279" s="230">
        <v>1114</v>
      </c>
      <c r="AU279" s="203">
        <v>14.241001564945227</v>
      </c>
      <c r="AV279" s="204">
        <v>66.197183098591552</v>
      </c>
      <c r="AW279" s="205">
        <v>19.561815336463223</v>
      </c>
      <c r="AX279" s="123">
        <v>4.1666999999999996</v>
      </c>
      <c r="AY279" s="281">
        <v>9.7560975609756095</v>
      </c>
      <c r="AZ279" s="282">
        <v>31.300813008130078</v>
      </c>
      <c r="BA279" s="283">
        <f t="shared" si="75"/>
        <v>58.943089430894318</v>
      </c>
      <c r="BB279" s="234">
        <v>86.1111111111111</v>
      </c>
      <c r="BC279" s="20">
        <v>2006</v>
      </c>
      <c r="BD279" s="263" t="s">
        <v>556</v>
      </c>
      <c r="BE279" s="261" t="s">
        <v>556</v>
      </c>
      <c r="BF279" s="260" t="s">
        <v>557</v>
      </c>
      <c r="BG279" s="256">
        <v>49.399656946826759</v>
      </c>
      <c r="BH279" s="248" t="s">
        <v>556</v>
      </c>
      <c r="BI279" s="249">
        <v>50</v>
      </c>
      <c r="BJ279" s="308" t="s">
        <v>556</v>
      </c>
      <c r="BK279" s="307" t="s">
        <v>750</v>
      </c>
      <c r="BL279" s="319" t="s">
        <v>1728</v>
      </c>
      <c r="BM279" s="320" t="s">
        <v>556</v>
      </c>
      <c r="BN279" s="321" t="s">
        <v>2195</v>
      </c>
      <c r="BO279" s="145" t="s">
        <v>557</v>
      </c>
      <c r="BP279" s="14">
        <v>2</v>
      </c>
      <c r="BQ279" s="14" t="s">
        <v>556</v>
      </c>
    </row>
    <row r="280" spans="1:70" s="3" customFormat="1" ht="13.95" customHeight="1" x14ac:dyDescent="0.3">
      <c r="A280" s="3" t="s">
        <v>459</v>
      </c>
      <c r="B280" s="57" t="s">
        <v>463</v>
      </c>
      <c r="C280" s="55" t="s">
        <v>177</v>
      </c>
      <c r="D280" s="58">
        <v>5</v>
      </c>
      <c r="E280" s="59" t="s">
        <v>596</v>
      </c>
      <c r="F280" s="60" t="s">
        <v>453</v>
      </c>
      <c r="G280" s="61" t="s">
        <v>113</v>
      </c>
      <c r="H280" s="61" t="s">
        <v>113</v>
      </c>
      <c r="I280" s="62" t="s">
        <v>113</v>
      </c>
      <c r="J280" s="63" t="s">
        <v>2196</v>
      </c>
      <c r="K280" s="100" t="s">
        <v>1132</v>
      </c>
      <c r="L280" s="131">
        <v>493532892</v>
      </c>
      <c r="M280" s="109" t="s">
        <v>564</v>
      </c>
      <c r="N280" s="12" t="s">
        <v>1131</v>
      </c>
      <c r="O280" s="100"/>
      <c r="P280" s="131"/>
      <c r="Q280" s="67"/>
      <c r="R280" s="12"/>
      <c r="S280" s="100"/>
      <c r="T280" s="66"/>
      <c r="U280" s="170">
        <f>457000+1400000</f>
        <v>1857000</v>
      </c>
      <c r="V280" s="48">
        <f t="shared" si="63"/>
        <v>4328.6713286713284</v>
      </c>
      <c r="W280" s="171">
        <f t="shared" si="64"/>
        <v>1806.8897084057542</v>
      </c>
      <c r="X280" s="69">
        <v>57800</v>
      </c>
      <c r="Y280" s="48">
        <f t="shared" si="65"/>
        <v>134.73193473193473</v>
      </c>
      <c r="Z280" s="137">
        <f t="shared" si="66"/>
        <v>56.240293562656213</v>
      </c>
      <c r="AA280" s="69">
        <v>0</v>
      </c>
      <c r="AB280" s="48">
        <f t="shared" si="67"/>
        <v>0</v>
      </c>
      <c r="AC280" s="137">
        <f t="shared" si="68"/>
        <v>0</v>
      </c>
      <c r="AD280" s="70">
        <f t="shared" si="69"/>
        <v>1914800</v>
      </c>
      <c r="AE280" s="71">
        <f t="shared" si="70"/>
        <v>4463.4032634032637</v>
      </c>
      <c r="AF280" s="193">
        <f t="shared" si="71"/>
        <v>1863.1300019684104</v>
      </c>
      <c r="AG280" s="185">
        <f t="shared" si="72"/>
        <v>8.1394261424017011E-2</v>
      </c>
      <c r="AH280" s="180">
        <f t="shared" si="62"/>
        <v>0.23167574107682998</v>
      </c>
      <c r="AI280" s="189">
        <v>429</v>
      </c>
      <c r="AJ280" s="125">
        <v>1027.7329</v>
      </c>
      <c r="AK280" s="149">
        <v>236</v>
      </c>
      <c r="AL280" s="221">
        <v>136</v>
      </c>
      <c r="AM280" s="216">
        <v>93.959731543624159</v>
      </c>
      <c r="AN280" s="213">
        <v>5.0209205020920509</v>
      </c>
      <c r="AO280" s="127">
        <v>4.7050000000000001</v>
      </c>
      <c r="AP280" s="133">
        <v>1.653</v>
      </c>
      <c r="AQ280" s="224">
        <f t="shared" si="73"/>
        <v>1.0540540540540539</v>
      </c>
      <c r="AR280" s="158">
        <v>407</v>
      </c>
      <c r="AS280" s="229">
        <f t="shared" si="74"/>
        <v>0.42182890855457228</v>
      </c>
      <c r="AT280" s="230">
        <v>1017</v>
      </c>
      <c r="AU280" s="203">
        <v>14.685314685314685</v>
      </c>
      <c r="AV280" s="204">
        <v>68.298368298368302</v>
      </c>
      <c r="AW280" s="205">
        <v>17.016317016317018</v>
      </c>
      <c r="AX280" s="123">
        <v>2.3729</v>
      </c>
      <c r="AY280" s="281">
        <v>5.2631578947368416</v>
      </c>
      <c r="AZ280" s="282">
        <v>40</v>
      </c>
      <c r="BA280" s="283">
        <f t="shared" si="75"/>
        <v>54.736842105263165</v>
      </c>
      <c r="BB280" s="234">
        <v>66.055045871559628</v>
      </c>
      <c r="BC280" s="19">
        <v>2015</v>
      </c>
      <c r="BD280" s="263" t="s">
        <v>556</v>
      </c>
      <c r="BE280" s="262" t="s">
        <v>557</v>
      </c>
      <c r="BF280" s="260" t="s">
        <v>557</v>
      </c>
      <c r="BG280" s="256">
        <v>0</v>
      </c>
      <c r="BH280" s="248" t="s">
        <v>556</v>
      </c>
      <c r="BI280" s="249">
        <v>47.445255474452551</v>
      </c>
      <c r="BJ280" s="309" t="s">
        <v>557</v>
      </c>
      <c r="BK280" s="307" t="s">
        <v>557</v>
      </c>
      <c r="BL280" s="319" t="s">
        <v>1728</v>
      </c>
      <c r="BM280" s="320" t="s">
        <v>557</v>
      </c>
      <c r="BN280" s="321" t="s">
        <v>1767</v>
      </c>
      <c r="BO280" s="21" t="s">
        <v>556</v>
      </c>
      <c r="BP280" s="10" t="s">
        <v>557</v>
      </c>
      <c r="BQ280" s="10" t="s">
        <v>557</v>
      </c>
      <c r="BR280" s="56"/>
    </row>
    <row r="281" spans="1:70" s="3" customFormat="1" ht="13.95" customHeight="1" x14ac:dyDescent="0.3">
      <c r="A281" s="56" t="s">
        <v>459</v>
      </c>
      <c r="B281" s="57" t="s">
        <v>462</v>
      </c>
      <c r="C281" s="55" t="s">
        <v>178</v>
      </c>
      <c r="D281" s="58">
        <v>1</v>
      </c>
      <c r="E281" s="97" t="s">
        <v>597</v>
      </c>
      <c r="F281" s="60" t="s">
        <v>453</v>
      </c>
      <c r="G281" s="61" t="s">
        <v>113</v>
      </c>
      <c r="H281" s="61" t="s">
        <v>113</v>
      </c>
      <c r="I281" s="62" t="s">
        <v>113</v>
      </c>
      <c r="J281" s="63" t="s">
        <v>2197</v>
      </c>
      <c r="K281" s="99"/>
      <c r="L281" s="130">
        <v>493522955</v>
      </c>
      <c r="M281" s="109" t="s">
        <v>564</v>
      </c>
      <c r="N281" s="12" t="s">
        <v>1133</v>
      </c>
      <c r="O281" s="100" t="s">
        <v>1134</v>
      </c>
      <c r="P281" s="131">
        <v>603450380</v>
      </c>
      <c r="Q281" s="67"/>
      <c r="R281" s="68"/>
      <c r="S281" s="99"/>
      <c r="T281" s="65"/>
      <c r="U281" s="170">
        <v>259000</v>
      </c>
      <c r="V281" s="48">
        <f t="shared" si="63"/>
        <v>1007.7821011673152</v>
      </c>
      <c r="W281" s="171">
        <f t="shared" si="64"/>
        <v>1876.4906870998875</v>
      </c>
      <c r="X281" s="69">
        <v>70000</v>
      </c>
      <c r="Y281" s="48">
        <f t="shared" si="65"/>
        <v>272.37354085603113</v>
      </c>
      <c r="Z281" s="137">
        <f t="shared" si="66"/>
        <v>507.15964516213177</v>
      </c>
      <c r="AA281" s="69">
        <v>0</v>
      </c>
      <c r="AB281" s="48">
        <f t="shared" si="67"/>
        <v>0</v>
      </c>
      <c r="AC281" s="137">
        <f t="shared" si="68"/>
        <v>0</v>
      </c>
      <c r="AD281" s="70">
        <f t="shared" si="69"/>
        <v>329000</v>
      </c>
      <c r="AE281" s="71">
        <f t="shared" si="70"/>
        <v>1280.1556420233462</v>
      </c>
      <c r="AF281" s="193">
        <f t="shared" si="71"/>
        <v>2383.6503322620192</v>
      </c>
      <c r="AG281" s="185">
        <f t="shared" si="72"/>
        <v>3.2982456140350877E-2</v>
      </c>
      <c r="AH281" s="180">
        <f t="shared" si="62"/>
        <v>3.4631578947368418</v>
      </c>
      <c r="AI281" s="189">
        <v>257</v>
      </c>
      <c r="AJ281" s="125">
        <v>138.02359999999999</v>
      </c>
      <c r="AK281" s="149">
        <v>87</v>
      </c>
      <c r="AL281" s="221">
        <v>75</v>
      </c>
      <c r="AM281" s="216">
        <v>87.368421052631589</v>
      </c>
      <c r="AN281" s="213">
        <v>14.035087719298247</v>
      </c>
      <c r="AO281" s="127">
        <v>1.9950000000000001</v>
      </c>
      <c r="AP281" s="133">
        <v>1.9E-2</v>
      </c>
      <c r="AQ281" s="224">
        <f t="shared" si="73"/>
        <v>1.5029239766081872</v>
      </c>
      <c r="AR281" s="158">
        <v>171</v>
      </c>
      <c r="AS281" s="229">
        <f t="shared" si="74"/>
        <v>1.4519774011299436</v>
      </c>
      <c r="AT281" s="230">
        <v>177</v>
      </c>
      <c r="AU281" s="203">
        <v>14.007782101167315</v>
      </c>
      <c r="AV281" s="204">
        <v>75.097276264591429</v>
      </c>
      <c r="AW281" s="205">
        <v>10.894941634241246</v>
      </c>
      <c r="AX281" s="123">
        <v>1.5385</v>
      </c>
      <c r="AY281" s="281">
        <v>7.7519379844961236</v>
      </c>
      <c r="AZ281" s="282">
        <v>43.410852713178294</v>
      </c>
      <c r="BA281" s="283">
        <f t="shared" si="75"/>
        <v>48.837209302325583</v>
      </c>
      <c r="BB281" s="234">
        <v>90.140845070422543</v>
      </c>
      <c r="BC281" s="20">
        <v>1997</v>
      </c>
      <c r="BD281" s="263" t="s">
        <v>556</v>
      </c>
      <c r="BE281" s="261" t="s">
        <v>556</v>
      </c>
      <c r="BF281" s="259" t="s">
        <v>556</v>
      </c>
      <c r="BG281" s="256">
        <v>32.411067193675891</v>
      </c>
      <c r="BH281" s="254" t="s">
        <v>557</v>
      </c>
      <c r="BI281" s="249">
        <v>0</v>
      </c>
      <c r="BJ281" s="309" t="s">
        <v>557</v>
      </c>
      <c r="BK281" s="307" t="s">
        <v>557</v>
      </c>
      <c r="BL281" s="319" t="s">
        <v>1728</v>
      </c>
      <c r="BM281" s="320" t="s">
        <v>556</v>
      </c>
      <c r="BN281" s="321" t="s">
        <v>1838</v>
      </c>
      <c r="BO281" s="145" t="s">
        <v>557</v>
      </c>
      <c r="BP281" s="14" t="s">
        <v>557</v>
      </c>
      <c r="BQ281" s="14" t="s">
        <v>557</v>
      </c>
    </row>
    <row r="282" spans="1:70" s="56" customFormat="1" ht="13.95" customHeight="1" x14ac:dyDescent="0.3">
      <c r="A282" s="56" t="s">
        <v>459</v>
      </c>
      <c r="B282" s="57" t="s">
        <v>462</v>
      </c>
      <c r="C282" s="55" t="s">
        <v>352</v>
      </c>
      <c r="D282" s="58">
        <v>1</v>
      </c>
      <c r="E282" s="59"/>
      <c r="F282" s="60" t="s">
        <v>455</v>
      </c>
      <c r="G282" s="61" t="s">
        <v>304</v>
      </c>
      <c r="H282" s="61" t="s">
        <v>304</v>
      </c>
      <c r="I282" s="62" t="s">
        <v>304</v>
      </c>
      <c r="J282" s="63" t="s">
        <v>2198</v>
      </c>
      <c r="K282" s="99" t="s">
        <v>1486</v>
      </c>
      <c r="L282" s="130">
        <v>494623346</v>
      </c>
      <c r="M282" s="109" t="s">
        <v>564</v>
      </c>
      <c r="N282" s="12" t="s">
        <v>1485</v>
      </c>
      <c r="O282" s="100"/>
      <c r="P282" s="131"/>
      <c r="Q282" s="84"/>
      <c r="R282" s="3"/>
      <c r="S282" s="2"/>
      <c r="T282" s="112"/>
      <c r="U282" s="170">
        <v>0</v>
      </c>
      <c r="V282" s="48">
        <f t="shared" si="63"/>
        <v>0</v>
      </c>
      <c r="W282" s="171">
        <f t="shared" si="64"/>
        <v>0</v>
      </c>
      <c r="X282" s="69">
        <v>3600</v>
      </c>
      <c r="Y282" s="48">
        <f t="shared" si="65"/>
        <v>5.3571428571428568</v>
      </c>
      <c r="Z282" s="137">
        <f t="shared" si="66"/>
        <v>5.7254986034554651</v>
      </c>
      <c r="AA282" s="69">
        <v>1000000</v>
      </c>
      <c r="AB282" s="48">
        <f t="shared" si="67"/>
        <v>1488.0952380952381</v>
      </c>
      <c r="AC282" s="137">
        <f t="shared" si="68"/>
        <v>1590.4162787376292</v>
      </c>
      <c r="AD282" s="70">
        <f t="shared" si="69"/>
        <v>1003600</v>
      </c>
      <c r="AE282" s="71">
        <f t="shared" si="70"/>
        <v>1493.452380952381</v>
      </c>
      <c r="AF282" s="193">
        <f t="shared" si="71"/>
        <v>1596.1417773410847</v>
      </c>
      <c r="AG282" s="185">
        <f t="shared" si="72"/>
        <v>2.8033519553072626E-2</v>
      </c>
      <c r="AH282" s="180">
        <f t="shared" si="62"/>
        <v>0.12841970569417788</v>
      </c>
      <c r="AI282" s="189">
        <v>672</v>
      </c>
      <c r="AJ282" s="125">
        <v>628.76620000000003</v>
      </c>
      <c r="AK282" s="149">
        <v>232</v>
      </c>
      <c r="AL282" s="221">
        <v>179</v>
      </c>
      <c r="AM282" s="216">
        <v>92.523364485981304</v>
      </c>
      <c r="AN282" s="213">
        <v>6.2962962962962967</v>
      </c>
      <c r="AO282" s="127">
        <v>7.16</v>
      </c>
      <c r="AP282" s="133">
        <v>1.5629999999999999</v>
      </c>
      <c r="AQ282" s="224">
        <f t="shared" si="73"/>
        <v>1.2262773722627738</v>
      </c>
      <c r="AR282" s="158">
        <v>548</v>
      </c>
      <c r="AS282" s="229">
        <f t="shared" si="74"/>
        <v>0.86043533930857874</v>
      </c>
      <c r="AT282" s="230">
        <v>781</v>
      </c>
      <c r="AU282" s="203">
        <v>16.36904761904762</v>
      </c>
      <c r="AV282" s="204">
        <v>70.089285714285708</v>
      </c>
      <c r="AW282" s="205">
        <v>13.541666666666666</v>
      </c>
      <c r="AX282" s="123">
        <v>3.4908000000000001</v>
      </c>
      <c r="AY282" s="281">
        <v>5.2459016393442619</v>
      </c>
      <c r="AZ282" s="282">
        <v>42.295081967213115</v>
      </c>
      <c r="BA282" s="283">
        <f t="shared" si="75"/>
        <v>52.459016393442617</v>
      </c>
      <c r="BB282" s="234">
        <v>77.304964539007102</v>
      </c>
      <c r="BC282" s="19">
        <v>1994</v>
      </c>
      <c r="BD282" s="263" t="s">
        <v>556</v>
      </c>
      <c r="BE282" s="261" t="s">
        <v>556</v>
      </c>
      <c r="BF282" s="259" t="s">
        <v>556</v>
      </c>
      <c r="BG282" s="256">
        <v>95.496894409937894</v>
      </c>
      <c r="BH282" s="248" t="s">
        <v>556</v>
      </c>
      <c r="BI282" s="249">
        <v>18.211920529801322</v>
      </c>
      <c r="BJ282" s="308" t="s">
        <v>556</v>
      </c>
      <c r="BK282" s="307" t="s">
        <v>750</v>
      </c>
      <c r="BL282" s="319" t="s">
        <v>1728</v>
      </c>
      <c r="BM282" s="320" t="s">
        <v>556</v>
      </c>
      <c r="BN282" s="321" t="s">
        <v>1803</v>
      </c>
      <c r="BO282" s="145" t="s">
        <v>557</v>
      </c>
      <c r="BP282" s="10" t="s">
        <v>556</v>
      </c>
      <c r="BQ282" s="10" t="s">
        <v>556</v>
      </c>
    </row>
    <row r="283" spans="1:70" s="56" customFormat="1" ht="13.95" customHeight="1" x14ac:dyDescent="0.3">
      <c r="A283" s="56" t="s">
        <v>461</v>
      </c>
      <c r="B283" s="77" t="s">
        <v>464</v>
      </c>
      <c r="C283" s="74" t="s">
        <v>227</v>
      </c>
      <c r="D283" s="58">
        <v>6</v>
      </c>
      <c r="E283" s="59" t="s">
        <v>1693</v>
      </c>
      <c r="F283" s="60" t="s">
        <v>454</v>
      </c>
      <c r="G283" s="75" t="s">
        <v>226</v>
      </c>
      <c r="H283" s="75" t="s">
        <v>1227</v>
      </c>
      <c r="I283" s="76" t="s">
        <v>1227</v>
      </c>
      <c r="J283" s="63" t="s">
        <v>2202</v>
      </c>
      <c r="K283" s="99" t="s">
        <v>2199</v>
      </c>
      <c r="L283" s="130">
        <v>491509999</v>
      </c>
      <c r="M283" s="109" t="s">
        <v>537</v>
      </c>
      <c r="N283" s="12" t="s">
        <v>1335</v>
      </c>
      <c r="O283" s="100" t="s">
        <v>1336</v>
      </c>
      <c r="P283" s="131" t="s">
        <v>2200</v>
      </c>
      <c r="Q283" s="67"/>
      <c r="R283" s="68"/>
      <c r="S283" s="99"/>
      <c r="T283" s="65"/>
      <c r="U283" s="172">
        <v>0</v>
      </c>
      <c r="V283" s="135">
        <f t="shared" si="63"/>
        <v>0</v>
      </c>
      <c r="W283" s="173">
        <f t="shared" si="64"/>
        <v>0</v>
      </c>
      <c r="X283" s="69">
        <f>1351942+16000</f>
        <v>1367942</v>
      </c>
      <c r="Y283" s="48">
        <f t="shared" si="65"/>
        <v>327.88638542665387</v>
      </c>
      <c r="Z283" s="137">
        <f t="shared" si="66"/>
        <v>560.63957261059568</v>
      </c>
      <c r="AA283" s="69">
        <f>515000+1300000</f>
        <v>1815000</v>
      </c>
      <c r="AB283" s="48">
        <f t="shared" si="67"/>
        <v>435.04314477468841</v>
      </c>
      <c r="AC283" s="137">
        <f t="shared" si="68"/>
        <v>743.86254993868977</v>
      </c>
      <c r="AD283" s="70">
        <f t="shared" si="69"/>
        <v>3182942</v>
      </c>
      <c r="AE283" s="71">
        <f t="shared" si="70"/>
        <v>762.92953020134223</v>
      </c>
      <c r="AF283" s="193">
        <f t="shared" si="71"/>
        <v>1304.5021225492856</v>
      </c>
      <c r="AG283" s="185">
        <f t="shared" si="72"/>
        <v>9.7290072135957934E-3</v>
      </c>
      <c r="AH283" s="180">
        <f t="shared" si="62"/>
        <v>5.0550972762645911E-2</v>
      </c>
      <c r="AI283" s="189">
        <v>4172</v>
      </c>
      <c r="AJ283" s="126">
        <v>2439.9668999999999</v>
      </c>
      <c r="AK283" s="150">
        <v>1169</v>
      </c>
      <c r="AL283" s="221">
        <v>800</v>
      </c>
      <c r="AM283" s="216">
        <v>49.21098772647575</v>
      </c>
      <c r="AN283" s="213">
        <v>6.7975107707036857</v>
      </c>
      <c r="AO283" s="128">
        <v>65.432000000000002</v>
      </c>
      <c r="AP283" s="134">
        <v>12.593</v>
      </c>
      <c r="AQ283" s="224">
        <f t="shared" si="73"/>
        <v>0.93125000000000002</v>
      </c>
      <c r="AR283" s="158">
        <v>4480</v>
      </c>
      <c r="AS283" s="229">
        <f t="shared" si="74"/>
        <v>0.88054031236808783</v>
      </c>
      <c r="AT283" s="230">
        <v>4738</v>
      </c>
      <c r="AU283" s="203">
        <v>15.532118887823588</v>
      </c>
      <c r="AV283" s="204">
        <v>63.350910834132307</v>
      </c>
      <c r="AW283" s="205">
        <v>21.116970278044104</v>
      </c>
      <c r="AX283" s="123">
        <v>3.5489999999999999</v>
      </c>
      <c r="AY283" s="281">
        <v>3.5879629629629628</v>
      </c>
      <c r="AZ283" s="282">
        <v>44.155092592592595</v>
      </c>
      <c r="BA283" s="283">
        <f t="shared" si="75"/>
        <v>52.256944444444443</v>
      </c>
      <c r="BB283" s="234">
        <v>51.232166018158239</v>
      </c>
      <c r="BC283" s="20">
        <v>2014</v>
      </c>
      <c r="BD283" s="263" t="s">
        <v>556</v>
      </c>
      <c r="BE283" s="261" t="s">
        <v>556</v>
      </c>
      <c r="BF283" s="259" t="s">
        <v>556</v>
      </c>
      <c r="BG283" s="256">
        <v>78.508124076809452</v>
      </c>
      <c r="BH283" s="248" t="s">
        <v>556</v>
      </c>
      <c r="BI283" s="249">
        <v>42.556723851687885</v>
      </c>
      <c r="BJ283" s="308" t="s">
        <v>556</v>
      </c>
      <c r="BK283" s="307" t="s">
        <v>556</v>
      </c>
      <c r="BL283" s="319" t="s">
        <v>1728</v>
      </c>
      <c r="BM283" s="320" t="s">
        <v>556</v>
      </c>
      <c r="BN283" s="321" t="s">
        <v>2201</v>
      </c>
      <c r="BO283" s="145" t="s">
        <v>556</v>
      </c>
      <c r="BP283" s="14" t="s">
        <v>556</v>
      </c>
      <c r="BQ283" s="14" t="s">
        <v>556</v>
      </c>
    </row>
    <row r="284" spans="1:70" s="56" customFormat="1" ht="13.95" customHeight="1" x14ac:dyDescent="0.3">
      <c r="A284" s="56" t="s">
        <v>459</v>
      </c>
      <c r="B284" s="57" t="s">
        <v>462</v>
      </c>
      <c r="C284" s="55" t="s">
        <v>353</v>
      </c>
      <c r="D284" s="58">
        <v>1</v>
      </c>
      <c r="E284" s="59"/>
      <c r="F284" s="60" t="s">
        <v>455</v>
      </c>
      <c r="G284" s="61" t="s">
        <v>528</v>
      </c>
      <c r="H284" s="61" t="s">
        <v>336</v>
      </c>
      <c r="I284" s="62" t="s">
        <v>336</v>
      </c>
      <c r="J284" s="63" t="s">
        <v>2203</v>
      </c>
      <c r="K284" s="99"/>
      <c r="L284" s="130">
        <v>494546553</v>
      </c>
      <c r="M284" s="109" t="s">
        <v>564</v>
      </c>
      <c r="N284" s="12" t="s">
        <v>1487</v>
      </c>
      <c r="O284" s="100" t="s">
        <v>1488</v>
      </c>
      <c r="P284" s="131">
        <v>605466538</v>
      </c>
      <c r="Q284" s="84"/>
      <c r="R284" s="3"/>
      <c r="S284" s="2"/>
      <c r="T284" s="112"/>
      <c r="U284" s="170">
        <v>355257</v>
      </c>
      <c r="V284" s="48">
        <f t="shared" si="63"/>
        <v>2753.9302325581393</v>
      </c>
      <c r="W284" s="171">
        <f t="shared" si="64"/>
        <v>759.7135022326903</v>
      </c>
      <c r="X284" s="69">
        <v>0</v>
      </c>
      <c r="Y284" s="48">
        <f t="shared" si="65"/>
        <v>0</v>
      </c>
      <c r="Z284" s="137">
        <f t="shared" si="66"/>
        <v>0</v>
      </c>
      <c r="AA284" s="69">
        <v>0</v>
      </c>
      <c r="AB284" s="48">
        <f t="shared" si="67"/>
        <v>0</v>
      </c>
      <c r="AC284" s="137">
        <f t="shared" si="68"/>
        <v>0</v>
      </c>
      <c r="AD284" s="70">
        <f t="shared" si="69"/>
        <v>355257</v>
      </c>
      <c r="AE284" s="71">
        <f t="shared" si="70"/>
        <v>2753.9302325581393</v>
      </c>
      <c r="AF284" s="193">
        <f t="shared" si="71"/>
        <v>759.7135022326903</v>
      </c>
      <c r="AG284" s="185">
        <f t="shared" si="72"/>
        <v>2.5650324909747294E-2</v>
      </c>
      <c r="AH284" s="180">
        <f t="shared" si="62"/>
        <v>8.8043866171003696E-2</v>
      </c>
      <c r="AI284" s="189">
        <v>129</v>
      </c>
      <c r="AJ284" s="125">
        <v>467.61970000000002</v>
      </c>
      <c r="AK284" s="149">
        <v>81</v>
      </c>
      <c r="AL284" s="221">
        <v>29</v>
      </c>
      <c r="AM284" s="216">
        <v>82.926829268292678</v>
      </c>
      <c r="AN284" s="213">
        <v>4.2553191489361701</v>
      </c>
      <c r="AO284" s="127">
        <v>2.77</v>
      </c>
      <c r="AP284" s="133">
        <v>0.80700000000000005</v>
      </c>
      <c r="AQ284" s="224">
        <f t="shared" si="73"/>
        <v>1.3578947368421053</v>
      </c>
      <c r="AR284" s="158">
        <v>95</v>
      </c>
      <c r="AS284" s="229">
        <f t="shared" si="74"/>
        <v>0.50787401574803148</v>
      </c>
      <c r="AT284" s="230">
        <v>254</v>
      </c>
      <c r="AU284" s="203">
        <v>18.604651162790699</v>
      </c>
      <c r="AV284" s="204">
        <v>68.992248062015506</v>
      </c>
      <c r="AW284" s="205">
        <v>12.403100775193799</v>
      </c>
      <c r="AX284" s="123">
        <v>3.3332999999999999</v>
      </c>
      <c r="AY284" s="281">
        <v>6.4516129032258061</v>
      </c>
      <c r="AZ284" s="282">
        <v>46.774193548387096</v>
      </c>
      <c r="BA284" s="283">
        <f t="shared" si="75"/>
        <v>46.774193548387096</v>
      </c>
      <c r="BB284" s="234">
        <v>84</v>
      </c>
      <c r="BC284" s="19">
        <v>2012</v>
      </c>
      <c r="BD284" s="263" t="s">
        <v>556</v>
      </c>
      <c r="BE284" s="262" t="s">
        <v>557</v>
      </c>
      <c r="BF284" s="260" t="s">
        <v>557</v>
      </c>
      <c r="BG284" s="256">
        <v>0</v>
      </c>
      <c r="BH284" s="254" t="s">
        <v>557</v>
      </c>
      <c r="BI284" s="249">
        <v>0</v>
      </c>
      <c r="BJ284" s="309" t="s">
        <v>557</v>
      </c>
      <c r="BK284" s="307" t="s">
        <v>557</v>
      </c>
      <c r="BL284" s="319" t="s">
        <v>1728</v>
      </c>
      <c r="BM284" s="320" t="s">
        <v>556</v>
      </c>
      <c r="BN284" s="321" t="s">
        <v>1838</v>
      </c>
      <c r="BO284" s="145" t="s">
        <v>557</v>
      </c>
      <c r="BP284" s="10" t="s">
        <v>557</v>
      </c>
      <c r="BQ284" s="10" t="s">
        <v>557</v>
      </c>
    </row>
    <row r="285" spans="1:70" s="56" customFormat="1" ht="13.95" customHeight="1" x14ac:dyDescent="0.3">
      <c r="A285" s="56" t="s">
        <v>459</v>
      </c>
      <c r="B285" s="57" t="s">
        <v>462</v>
      </c>
      <c r="C285" s="55" t="s">
        <v>354</v>
      </c>
      <c r="D285" s="58">
        <v>2</v>
      </c>
      <c r="E285" s="59" t="s">
        <v>706</v>
      </c>
      <c r="F285" s="60" t="s">
        <v>455</v>
      </c>
      <c r="G285" s="61" t="s">
        <v>528</v>
      </c>
      <c r="H285" s="61" t="s">
        <v>336</v>
      </c>
      <c r="I285" s="62" t="s">
        <v>336</v>
      </c>
      <c r="J285" s="63" t="s">
        <v>2206</v>
      </c>
      <c r="K285" s="99" t="s">
        <v>2204</v>
      </c>
      <c r="L285" s="130">
        <v>494546812</v>
      </c>
      <c r="M285" s="109" t="s">
        <v>564</v>
      </c>
      <c r="N285" s="12" t="s">
        <v>1489</v>
      </c>
      <c r="O285" s="100" t="s">
        <v>1490</v>
      </c>
      <c r="P285" s="131" t="s">
        <v>2205</v>
      </c>
      <c r="Q285" s="84"/>
      <c r="R285" s="3"/>
      <c r="S285" s="2"/>
      <c r="T285" s="112"/>
      <c r="U285" s="170">
        <v>409330</v>
      </c>
      <c r="V285" s="48">
        <f t="shared" si="63"/>
        <v>435.45744680851061</v>
      </c>
      <c r="W285" s="171">
        <f t="shared" si="64"/>
        <v>452.50609533990468</v>
      </c>
      <c r="X285" s="69">
        <v>6000</v>
      </c>
      <c r="Y285" s="48">
        <f t="shared" si="65"/>
        <v>6.3829787234042552</v>
      </c>
      <c r="Z285" s="137">
        <f t="shared" si="66"/>
        <v>6.6328795154018225</v>
      </c>
      <c r="AA285" s="69">
        <v>0</v>
      </c>
      <c r="AB285" s="48">
        <f t="shared" si="67"/>
        <v>0</v>
      </c>
      <c r="AC285" s="137">
        <f t="shared" si="68"/>
        <v>0</v>
      </c>
      <c r="AD285" s="70">
        <f t="shared" si="69"/>
        <v>415330</v>
      </c>
      <c r="AE285" s="71">
        <f t="shared" si="70"/>
        <v>441.84042553191489</v>
      </c>
      <c r="AF285" s="193">
        <f t="shared" si="71"/>
        <v>459.13897485530646</v>
      </c>
      <c r="AG285" s="185">
        <f t="shared" si="72"/>
        <v>4.3455924666492294E-3</v>
      </c>
      <c r="AH285" s="180">
        <f t="shared" si="62"/>
        <v>1.3837414626020323E-2</v>
      </c>
      <c r="AI285" s="189">
        <v>940</v>
      </c>
      <c r="AJ285" s="125">
        <v>904.58450000000005</v>
      </c>
      <c r="AK285" s="149">
        <v>536</v>
      </c>
      <c r="AL285" s="221">
        <v>272</v>
      </c>
      <c r="AM285" s="216">
        <v>86.470588235294116</v>
      </c>
      <c r="AN285" s="213">
        <v>13.978494623655916</v>
      </c>
      <c r="AO285" s="127">
        <v>19.114999999999998</v>
      </c>
      <c r="AP285" s="133">
        <v>6.0030000000000001</v>
      </c>
      <c r="AQ285" s="224">
        <f t="shared" si="73"/>
        <v>0.94853683148335011</v>
      </c>
      <c r="AR285" s="158">
        <v>991</v>
      </c>
      <c r="AS285" s="229">
        <f t="shared" si="74"/>
        <v>0.92885375494071143</v>
      </c>
      <c r="AT285" s="230">
        <v>1012</v>
      </c>
      <c r="AU285" s="203">
        <v>16.170212765957448</v>
      </c>
      <c r="AV285" s="204">
        <v>62.340425531914896</v>
      </c>
      <c r="AW285" s="205">
        <v>21.48936170212766</v>
      </c>
      <c r="AX285" s="123">
        <v>2.7682000000000002</v>
      </c>
      <c r="AY285" s="281">
        <v>4.2440318302387263</v>
      </c>
      <c r="AZ285" s="282">
        <v>37.665782493368702</v>
      </c>
      <c r="BA285" s="283">
        <f t="shared" si="75"/>
        <v>58.090185676392572</v>
      </c>
      <c r="BB285" s="234">
        <v>69.473684210526315</v>
      </c>
      <c r="BC285" s="19">
        <v>2015</v>
      </c>
      <c r="BD285" s="263" t="s">
        <v>556</v>
      </c>
      <c r="BE285" s="261" t="s">
        <v>556</v>
      </c>
      <c r="BF285" s="260" t="s">
        <v>557</v>
      </c>
      <c r="BG285" s="256">
        <v>36.647398843930631</v>
      </c>
      <c r="BH285" s="248" t="s">
        <v>556</v>
      </c>
      <c r="BI285" s="249">
        <v>42.874692874692876</v>
      </c>
      <c r="BJ285" s="308" t="s">
        <v>556</v>
      </c>
      <c r="BK285" s="307" t="s">
        <v>750</v>
      </c>
      <c r="BL285" s="319" t="s">
        <v>1728</v>
      </c>
      <c r="BM285" s="320" t="s">
        <v>556</v>
      </c>
      <c r="BN285" s="321" t="s">
        <v>1803</v>
      </c>
      <c r="BO285" s="21" t="s">
        <v>556</v>
      </c>
      <c r="BP285" s="10" t="s">
        <v>556</v>
      </c>
      <c r="BQ285" s="10" t="s">
        <v>556</v>
      </c>
      <c r="BR285" s="72"/>
    </row>
    <row r="286" spans="1:70" s="56" customFormat="1" ht="13.95" customHeight="1" x14ac:dyDescent="0.3">
      <c r="A286" s="56" t="s">
        <v>459</v>
      </c>
      <c r="B286" s="57" t="s">
        <v>462</v>
      </c>
      <c r="C286" s="55" t="s">
        <v>77</v>
      </c>
      <c r="D286" s="58">
        <v>1</v>
      </c>
      <c r="E286" s="59"/>
      <c r="F286" s="60" t="s">
        <v>452</v>
      </c>
      <c r="G286" s="61" t="s">
        <v>7</v>
      </c>
      <c r="H286" s="61" t="s">
        <v>7</v>
      </c>
      <c r="I286" s="62" t="s">
        <v>7</v>
      </c>
      <c r="J286" s="63" t="s">
        <v>2207</v>
      </c>
      <c r="K286" s="99" t="s">
        <v>929</v>
      </c>
      <c r="L286" s="130">
        <v>495480616</v>
      </c>
      <c r="M286" s="109" t="s">
        <v>564</v>
      </c>
      <c r="N286" s="12" t="s">
        <v>930</v>
      </c>
      <c r="O286" s="100"/>
      <c r="P286" s="131">
        <v>724183742</v>
      </c>
      <c r="Q286" s="67"/>
      <c r="R286" s="68"/>
      <c r="S286" s="99"/>
      <c r="T286" s="65"/>
      <c r="U286" s="170">
        <f>41983+24675</f>
        <v>66658</v>
      </c>
      <c r="V286" s="48">
        <f t="shared" si="63"/>
        <v>109.27540983606558</v>
      </c>
      <c r="W286" s="171">
        <f t="shared" si="64"/>
        <v>106.40004456613227</v>
      </c>
      <c r="X286" s="69">
        <v>0</v>
      </c>
      <c r="Y286" s="48">
        <f t="shared" si="65"/>
        <v>0</v>
      </c>
      <c r="Z286" s="137">
        <f t="shared" si="66"/>
        <v>0</v>
      </c>
      <c r="AA286" s="69">
        <v>0</v>
      </c>
      <c r="AB286" s="48">
        <f t="shared" si="67"/>
        <v>0</v>
      </c>
      <c r="AC286" s="137">
        <f t="shared" si="68"/>
        <v>0</v>
      </c>
      <c r="AD286" s="70">
        <f t="shared" si="69"/>
        <v>66658</v>
      </c>
      <c r="AE286" s="71">
        <f t="shared" si="70"/>
        <v>109.27540983606558</v>
      </c>
      <c r="AF286" s="193">
        <f t="shared" si="71"/>
        <v>106.40004456613227</v>
      </c>
      <c r="AG286" s="185">
        <f t="shared" si="72"/>
        <v>2.4081647398843933E-3</v>
      </c>
      <c r="AH286" s="180">
        <f t="shared" si="62"/>
        <v>7.0799787573021774E-3</v>
      </c>
      <c r="AI286" s="189">
        <v>610</v>
      </c>
      <c r="AJ286" s="125">
        <v>626.48469999999998</v>
      </c>
      <c r="AK286" s="149">
        <v>250</v>
      </c>
      <c r="AL286" s="221">
        <v>184</v>
      </c>
      <c r="AM286" s="216">
        <v>94.339622641509436</v>
      </c>
      <c r="AN286" s="213">
        <v>8.1180811808118083</v>
      </c>
      <c r="AO286" s="127">
        <v>5.5359999999999996</v>
      </c>
      <c r="AP286" s="133">
        <v>1.883</v>
      </c>
      <c r="AQ286" s="224">
        <f t="shared" si="73"/>
        <v>1.1030741410488245</v>
      </c>
      <c r="AR286" s="158">
        <v>553</v>
      </c>
      <c r="AS286" s="229">
        <f t="shared" si="74"/>
        <v>0.67180616740088106</v>
      </c>
      <c r="AT286" s="230">
        <v>908</v>
      </c>
      <c r="AU286" s="203">
        <v>14.098360655737704</v>
      </c>
      <c r="AV286" s="204">
        <v>67.704918032786878</v>
      </c>
      <c r="AW286" s="205">
        <v>18.196721311475411</v>
      </c>
      <c r="AX286" s="123">
        <v>7.0922000000000001</v>
      </c>
      <c r="AY286" s="281">
        <v>8.9605734767025087</v>
      </c>
      <c r="AZ286" s="282">
        <v>37.992831541218635</v>
      </c>
      <c r="BA286" s="283">
        <f t="shared" si="75"/>
        <v>53.046594982078858</v>
      </c>
      <c r="BB286" s="234">
        <v>86.486486486486484</v>
      </c>
      <c r="BC286" s="20">
        <v>2002</v>
      </c>
      <c r="BD286" s="263" t="s">
        <v>556</v>
      </c>
      <c r="BE286" s="261" t="s">
        <v>556</v>
      </c>
      <c r="BF286" s="259" t="s">
        <v>556</v>
      </c>
      <c r="BG286" s="256">
        <v>40.587219343696027</v>
      </c>
      <c r="BH286" s="248" t="s">
        <v>556</v>
      </c>
      <c r="BI286" s="249">
        <v>39.305301645338211</v>
      </c>
      <c r="BJ286" s="308" t="s">
        <v>556</v>
      </c>
      <c r="BK286" s="307" t="s">
        <v>750</v>
      </c>
      <c r="BL286" s="319" t="s">
        <v>1728</v>
      </c>
      <c r="BM286" s="320" t="s">
        <v>556</v>
      </c>
      <c r="BN286" s="321" t="s">
        <v>2208</v>
      </c>
      <c r="BO286" s="145" t="s">
        <v>557</v>
      </c>
      <c r="BP286" s="14" t="s">
        <v>557</v>
      </c>
      <c r="BQ286" s="14" t="s">
        <v>557</v>
      </c>
    </row>
    <row r="287" spans="1:70" s="81" customFormat="1" ht="13.95" customHeight="1" x14ac:dyDescent="0.3">
      <c r="A287" s="56" t="s">
        <v>459</v>
      </c>
      <c r="B287" s="57" t="s">
        <v>462</v>
      </c>
      <c r="C287" s="55" t="s">
        <v>23</v>
      </c>
      <c r="D287" s="58">
        <v>5</v>
      </c>
      <c r="E287" s="59" t="s">
        <v>487</v>
      </c>
      <c r="F287" s="60" t="s">
        <v>452</v>
      </c>
      <c r="G287" s="61" t="s">
        <v>11</v>
      </c>
      <c r="H287" s="61" t="s">
        <v>11</v>
      </c>
      <c r="I287" s="62" t="s">
        <v>11</v>
      </c>
      <c r="J287" s="63" t="s">
        <v>2210</v>
      </c>
      <c r="K287" s="101" t="s">
        <v>2209</v>
      </c>
      <c r="L287" s="130">
        <v>495588113</v>
      </c>
      <c r="M287" s="109" t="s">
        <v>537</v>
      </c>
      <c r="N287" s="13" t="s">
        <v>1792</v>
      </c>
      <c r="O287" s="100"/>
      <c r="P287" s="131">
        <v>602438884</v>
      </c>
      <c r="Q287" s="67"/>
      <c r="R287" s="68"/>
      <c r="S287" s="99"/>
      <c r="T287" s="65"/>
      <c r="U287" s="170">
        <f>64000+49000+636000</f>
        <v>749000</v>
      </c>
      <c r="V287" s="48">
        <f t="shared" si="63"/>
        <v>706.60377358490564</v>
      </c>
      <c r="W287" s="171">
        <f t="shared" si="64"/>
        <v>581.26698353089819</v>
      </c>
      <c r="X287" s="69">
        <f>240000+10000</f>
        <v>250000</v>
      </c>
      <c r="Y287" s="48">
        <f t="shared" si="65"/>
        <v>235.84905660377359</v>
      </c>
      <c r="Z287" s="137">
        <f t="shared" si="66"/>
        <v>194.01434697292996</v>
      </c>
      <c r="AA287" s="69">
        <v>0</v>
      </c>
      <c r="AB287" s="48">
        <f t="shared" si="67"/>
        <v>0</v>
      </c>
      <c r="AC287" s="137">
        <f t="shared" si="68"/>
        <v>0</v>
      </c>
      <c r="AD287" s="70">
        <f t="shared" si="69"/>
        <v>999000</v>
      </c>
      <c r="AE287" s="71">
        <f t="shared" si="70"/>
        <v>942.45283018867929</v>
      </c>
      <c r="AF287" s="193">
        <f t="shared" si="71"/>
        <v>775.28133050382814</v>
      </c>
      <c r="AG287" s="185">
        <f t="shared" si="72"/>
        <v>1.9464198733560641E-2</v>
      </c>
      <c r="AH287" s="180">
        <f t="shared" si="62"/>
        <v>0.11949760765550238</v>
      </c>
      <c r="AI287" s="189">
        <v>1060</v>
      </c>
      <c r="AJ287" s="125">
        <v>1288.5645</v>
      </c>
      <c r="AK287" s="149">
        <v>415</v>
      </c>
      <c r="AL287" s="221">
        <v>323</v>
      </c>
      <c r="AM287" s="216">
        <v>93.19899244332494</v>
      </c>
      <c r="AN287" s="213">
        <v>4.3933054393305433</v>
      </c>
      <c r="AO287" s="127">
        <v>10.265000000000001</v>
      </c>
      <c r="AP287" s="133">
        <v>1.6719999999999999</v>
      </c>
      <c r="AQ287" s="224">
        <f t="shared" si="73"/>
        <v>1.1099476439790577</v>
      </c>
      <c r="AR287" s="158">
        <v>955</v>
      </c>
      <c r="AS287" s="229">
        <f t="shared" si="74"/>
        <v>0.68519715578539109</v>
      </c>
      <c r="AT287" s="230">
        <v>1547</v>
      </c>
      <c r="AU287" s="203">
        <v>14.528301886792452</v>
      </c>
      <c r="AV287" s="204">
        <v>70.377358490566039</v>
      </c>
      <c r="AW287" s="205">
        <v>15.09433962264151</v>
      </c>
      <c r="AX287" s="123">
        <v>4.8193000000000001</v>
      </c>
      <c r="AY287" s="281">
        <v>4.4025157232704402</v>
      </c>
      <c r="AZ287" s="282">
        <v>31.027253668763105</v>
      </c>
      <c r="BA287" s="283">
        <f t="shared" si="75"/>
        <v>64.570230607966451</v>
      </c>
      <c r="BB287" s="234">
        <v>76.791808873720129</v>
      </c>
      <c r="BC287" s="20">
        <v>2008</v>
      </c>
      <c r="BD287" s="263" t="s">
        <v>556</v>
      </c>
      <c r="BE287" s="261" t="s">
        <v>556</v>
      </c>
      <c r="BF287" s="259" t="s">
        <v>556</v>
      </c>
      <c r="BG287" s="256">
        <v>44.067796610169488</v>
      </c>
      <c r="BH287" s="248" t="s">
        <v>556</v>
      </c>
      <c r="BI287" s="249">
        <v>58.333333333333336</v>
      </c>
      <c r="BJ287" s="308" t="s">
        <v>556</v>
      </c>
      <c r="BK287" s="307" t="s">
        <v>750</v>
      </c>
      <c r="BL287" s="319" t="s">
        <v>1728</v>
      </c>
      <c r="BM287" s="320" t="s">
        <v>556</v>
      </c>
      <c r="BN287" s="321" t="s">
        <v>2211</v>
      </c>
      <c r="BO287" s="145" t="s">
        <v>556</v>
      </c>
      <c r="BP287" s="14">
        <v>3</v>
      </c>
      <c r="BQ287" s="14" t="s">
        <v>556</v>
      </c>
      <c r="BR287" s="56"/>
    </row>
    <row r="288" spans="1:70" s="72" customFormat="1" ht="13.95" customHeight="1" x14ac:dyDescent="0.3">
      <c r="A288" s="56" t="s">
        <v>459</v>
      </c>
      <c r="B288" s="57" t="s">
        <v>462</v>
      </c>
      <c r="C288" s="55" t="s">
        <v>355</v>
      </c>
      <c r="D288" s="58">
        <v>1</v>
      </c>
      <c r="E288" s="59"/>
      <c r="F288" s="60" t="s">
        <v>455</v>
      </c>
      <c r="G288" s="61" t="s">
        <v>528</v>
      </c>
      <c r="H288" s="61" t="s">
        <v>336</v>
      </c>
      <c r="I288" s="62" t="s">
        <v>336</v>
      </c>
      <c r="J288" s="63" t="s">
        <v>748</v>
      </c>
      <c r="K288" s="99" t="s">
        <v>746</v>
      </c>
      <c r="L288" s="130">
        <v>494546009</v>
      </c>
      <c r="M288" s="109" t="s">
        <v>564</v>
      </c>
      <c r="N288" s="12" t="s">
        <v>747</v>
      </c>
      <c r="O288" s="100" t="s">
        <v>746</v>
      </c>
      <c r="P288" s="131">
        <v>732722622</v>
      </c>
      <c r="Q288" s="85" t="s">
        <v>564</v>
      </c>
      <c r="R288" s="68" t="s">
        <v>747</v>
      </c>
      <c r="S288" s="99" t="s">
        <v>746</v>
      </c>
      <c r="T288" s="131">
        <v>732722622</v>
      </c>
      <c r="U288" s="170">
        <v>190000</v>
      </c>
      <c r="V288" s="48">
        <f t="shared" si="63"/>
        <v>3958.3333333333335</v>
      </c>
      <c r="W288" s="171">
        <f t="shared" si="64"/>
        <v>750.61817357215637</v>
      </c>
      <c r="X288" s="69">
        <v>95000</v>
      </c>
      <c r="Y288" s="48">
        <f t="shared" si="65"/>
        <v>1979.1666666666667</v>
      </c>
      <c r="Z288" s="137">
        <f t="shared" si="66"/>
        <v>375.30908678607818</v>
      </c>
      <c r="AA288" s="69">
        <v>180000</v>
      </c>
      <c r="AB288" s="48">
        <f t="shared" si="67"/>
        <v>3750</v>
      </c>
      <c r="AC288" s="137">
        <f t="shared" si="68"/>
        <v>711.11195391046397</v>
      </c>
      <c r="AD288" s="70">
        <f t="shared" si="69"/>
        <v>465000</v>
      </c>
      <c r="AE288" s="71">
        <f t="shared" si="70"/>
        <v>9687.5</v>
      </c>
      <c r="AF288" s="193">
        <f t="shared" si="71"/>
        <v>1837.0392142686985</v>
      </c>
      <c r="AG288" s="185">
        <f t="shared" si="72"/>
        <v>6.2124248496993988E-2</v>
      </c>
      <c r="AH288" s="180">
        <f t="shared" si="62"/>
        <v>1.3676470588235294</v>
      </c>
      <c r="AI288" s="189">
        <v>48</v>
      </c>
      <c r="AJ288" s="125">
        <v>253.12469999999999</v>
      </c>
      <c r="AK288" s="149">
        <v>56</v>
      </c>
      <c r="AL288" s="221">
        <v>23</v>
      </c>
      <c r="AM288" s="216">
        <v>100</v>
      </c>
      <c r="AN288" s="213">
        <v>4</v>
      </c>
      <c r="AO288" s="127">
        <v>1.4970000000000001</v>
      </c>
      <c r="AP288" s="133">
        <v>6.8000000000000005E-2</v>
      </c>
      <c r="AQ288" s="224">
        <f t="shared" si="73"/>
        <v>0.87272727272727268</v>
      </c>
      <c r="AR288" s="158">
        <v>55</v>
      </c>
      <c r="AS288" s="229">
        <f t="shared" si="74"/>
        <v>0.18390804597701149</v>
      </c>
      <c r="AT288" s="230">
        <v>261</v>
      </c>
      <c r="AU288" s="203">
        <v>6.25</v>
      </c>
      <c r="AV288" s="204">
        <v>64.583333333333329</v>
      </c>
      <c r="AW288" s="205">
        <v>29.166666666666668</v>
      </c>
      <c r="AX288" s="123">
        <v>0</v>
      </c>
      <c r="AY288" s="281">
        <v>0</v>
      </c>
      <c r="AZ288" s="282">
        <v>30.434782608695656</v>
      </c>
      <c r="BA288" s="283">
        <f t="shared" si="75"/>
        <v>69.565217391304344</v>
      </c>
      <c r="BB288" s="234">
        <v>99.999999999999986</v>
      </c>
      <c r="BC288" s="20">
        <v>2011</v>
      </c>
      <c r="BD288" s="264" t="s">
        <v>557</v>
      </c>
      <c r="BE288" s="262" t="s">
        <v>557</v>
      </c>
      <c r="BF288" s="260" t="s">
        <v>557</v>
      </c>
      <c r="BG288" s="256">
        <v>0</v>
      </c>
      <c r="BH288" s="254" t="s">
        <v>557</v>
      </c>
      <c r="BI288" s="249">
        <v>0</v>
      </c>
      <c r="BJ288" s="309" t="s">
        <v>557</v>
      </c>
      <c r="BK288" s="307" t="s">
        <v>557</v>
      </c>
      <c r="BL288" s="319" t="s">
        <v>557</v>
      </c>
      <c r="BM288" s="320" t="s">
        <v>556</v>
      </c>
      <c r="BN288" s="321" t="s">
        <v>557</v>
      </c>
      <c r="BO288" s="145" t="s">
        <v>557</v>
      </c>
      <c r="BP288" s="14" t="s">
        <v>557</v>
      </c>
      <c r="BQ288" s="14" t="s">
        <v>557</v>
      </c>
    </row>
    <row r="289" spans="1:70" s="56" customFormat="1" ht="13.95" customHeight="1" x14ac:dyDescent="0.3">
      <c r="A289" s="56" t="s">
        <v>459</v>
      </c>
      <c r="B289" s="57" t="s">
        <v>462</v>
      </c>
      <c r="C289" s="55" t="s">
        <v>433</v>
      </c>
      <c r="D289" s="58">
        <v>1</v>
      </c>
      <c r="E289" s="59"/>
      <c r="F289" s="60" t="s">
        <v>456</v>
      </c>
      <c r="G289" s="61" t="s">
        <v>389</v>
      </c>
      <c r="H289" s="61" t="s">
        <v>390</v>
      </c>
      <c r="I289" s="62" t="s">
        <v>390</v>
      </c>
      <c r="J289" s="63" t="s">
        <v>2212</v>
      </c>
      <c r="K289" s="101" t="s">
        <v>1631</v>
      </c>
      <c r="L289" s="130">
        <v>499441150</v>
      </c>
      <c r="M289" s="109" t="s">
        <v>564</v>
      </c>
      <c r="N289" s="12" t="s">
        <v>1630</v>
      </c>
      <c r="O289" s="100"/>
      <c r="P289" s="131" t="s">
        <v>2214</v>
      </c>
      <c r="Q289" s="84"/>
      <c r="S289" s="105"/>
      <c r="T289" s="131"/>
      <c r="U289" s="170">
        <v>357733</v>
      </c>
      <c r="V289" s="48">
        <f t="shared" si="63"/>
        <v>637.67023172905522</v>
      </c>
      <c r="W289" s="171">
        <f t="shared" si="64"/>
        <v>428.77172846307008</v>
      </c>
      <c r="X289" s="69">
        <v>90200</v>
      </c>
      <c r="Y289" s="48">
        <f t="shared" si="65"/>
        <v>160.78431372549019</v>
      </c>
      <c r="Z289" s="137">
        <f t="shared" si="66"/>
        <v>108.11194356508604</v>
      </c>
      <c r="AA289" s="69">
        <v>0</v>
      </c>
      <c r="AB289" s="48">
        <f t="shared" si="67"/>
        <v>0</v>
      </c>
      <c r="AC289" s="137">
        <f t="shared" si="68"/>
        <v>0</v>
      </c>
      <c r="AD289" s="70">
        <f t="shared" si="69"/>
        <v>447933</v>
      </c>
      <c r="AE289" s="71">
        <f t="shared" si="70"/>
        <v>798.4545454545455</v>
      </c>
      <c r="AF289" s="193">
        <f t="shared" si="71"/>
        <v>536.88367202815607</v>
      </c>
      <c r="AG289" s="185">
        <f t="shared" si="72"/>
        <v>1.4377563793933557E-2</v>
      </c>
      <c r="AH289" s="180">
        <f t="shared" si="62"/>
        <v>4.2700953288846523E-2</v>
      </c>
      <c r="AI289" s="189">
        <v>561</v>
      </c>
      <c r="AJ289" s="125">
        <v>834.32039999999995</v>
      </c>
      <c r="AK289" s="149">
        <v>186</v>
      </c>
      <c r="AL289" s="221">
        <v>138</v>
      </c>
      <c r="AM289" s="216">
        <v>70.142180094786738</v>
      </c>
      <c r="AN289" s="213">
        <v>11.19402985074627</v>
      </c>
      <c r="AO289" s="127">
        <v>6.2309999999999999</v>
      </c>
      <c r="AP289" s="133">
        <v>2.0979999999999999</v>
      </c>
      <c r="AQ289" s="224">
        <f t="shared" si="73"/>
        <v>1.0053763440860215</v>
      </c>
      <c r="AR289" s="158">
        <v>558</v>
      </c>
      <c r="AS289" s="229">
        <f t="shared" si="74"/>
        <v>0.61852260198456455</v>
      </c>
      <c r="AT289" s="230">
        <v>907</v>
      </c>
      <c r="AU289" s="203">
        <v>16.22103386809269</v>
      </c>
      <c r="AV289" s="204">
        <v>69.162210338680921</v>
      </c>
      <c r="AW289" s="205">
        <v>14.616755793226382</v>
      </c>
      <c r="AX289" s="123">
        <v>4.6036000000000001</v>
      </c>
      <c r="AY289" s="281">
        <v>4.4897959183673466</v>
      </c>
      <c r="AZ289" s="282">
        <v>48.571428571428569</v>
      </c>
      <c r="BA289" s="283">
        <f t="shared" si="75"/>
        <v>46.938775510204081</v>
      </c>
      <c r="BB289" s="234">
        <v>92.72727272727272</v>
      </c>
      <c r="BC289" s="120">
        <v>2017</v>
      </c>
      <c r="BD289" s="263" t="s">
        <v>556</v>
      </c>
      <c r="BE289" s="261" t="s">
        <v>556</v>
      </c>
      <c r="BF289" s="260" t="s">
        <v>557</v>
      </c>
      <c r="BG289" s="256">
        <v>4.007285974499089</v>
      </c>
      <c r="BH289" s="248" t="s">
        <v>556</v>
      </c>
      <c r="BI289" s="249">
        <v>49.521988527724666</v>
      </c>
      <c r="BJ289" s="308" t="s">
        <v>556</v>
      </c>
      <c r="BK289" s="307" t="s">
        <v>557</v>
      </c>
      <c r="BL289" s="319" t="s">
        <v>1728</v>
      </c>
      <c r="BM289" s="320" t="s">
        <v>556</v>
      </c>
      <c r="BN289" s="321" t="s">
        <v>1803</v>
      </c>
      <c r="BO289" s="145" t="s">
        <v>998</v>
      </c>
      <c r="BP289" s="14" t="s">
        <v>556</v>
      </c>
      <c r="BQ289" s="14" t="s">
        <v>556</v>
      </c>
      <c r="BR289" s="56" t="s">
        <v>457</v>
      </c>
    </row>
    <row r="290" spans="1:70" s="56" customFormat="1" ht="13.95" customHeight="1" x14ac:dyDescent="0.3">
      <c r="A290" s="56" t="s">
        <v>459</v>
      </c>
      <c r="B290" s="57" t="s">
        <v>462</v>
      </c>
      <c r="C290" s="55" t="s">
        <v>269</v>
      </c>
      <c r="D290" s="58">
        <v>5</v>
      </c>
      <c r="E290" s="59" t="s">
        <v>657</v>
      </c>
      <c r="F290" s="60" t="s">
        <v>454</v>
      </c>
      <c r="G290" s="61" t="s">
        <v>526</v>
      </c>
      <c r="H290" s="61" t="s">
        <v>526</v>
      </c>
      <c r="I290" s="62" t="s">
        <v>526</v>
      </c>
      <c r="J290" s="63" t="s">
        <v>2215</v>
      </c>
      <c r="K290" s="99"/>
      <c r="L290" s="130">
        <v>491474077</v>
      </c>
      <c r="M290" s="109" t="s">
        <v>564</v>
      </c>
      <c r="N290" s="12" t="s">
        <v>1337</v>
      </c>
      <c r="O290" s="100" t="s">
        <v>1338</v>
      </c>
      <c r="P290" s="131">
        <v>602456565</v>
      </c>
      <c r="Q290" s="67"/>
      <c r="R290" s="68"/>
      <c r="S290" s="99"/>
      <c r="T290" s="131"/>
      <c r="U290" s="170">
        <v>514086</v>
      </c>
      <c r="V290" s="48">
        <f t="shared" si="63"/>
        <v>419.66204081632651</v>
      </c>
      <c r="W290" s="171">
        <f t="shared" si="64"/>
        <v>317.81316824650258</v>
      </c>
      <c r="X290" s="69">
        <v>2910</v>
      </c>
      <c r="Y290" s="48">
        <f t="shared" si="65"/>
        <v>2.3755102040816327</v>
      </c>
      <c r="Z290" s="137">
        <f t="shared" si="66"/>
        <v>1.7989914520086574</v>
      </c>
      <c r="AA290" s="69">
        <v>150000</v>
      </c>
      <c r="AB290" s="48">
        <f t="shared" si="67"/>
        <v>122.44897959183673</v>
      </c>
      <c r="AC290" s="137">
        <f t="shared" si="68"/>
        <v>92.731518144776146</v>
      </c>
      <c r="AD290" s="70">
        <f t="shared" si="69"/>
        <v>666996</v>
      </c>
      <c r="AE290" s="71">
        <f t="shared" si="70"/>
        <v>544.48653061224491</v>
      </c>
      <c r="AF290" s="193">
        <f t="shared" si="71"/>
        <v>412.34367784328742</v>
      </c>
      <c r="AG290" s="185">
        <f t="shared" si="72"/>
        <v>1.1794801061007958E-2</v>
      </c>
      <c r="AH290" s="180">
        <f t="shared" si="62"/>
        <v>0.19559999999999997</v>
      </c>
      <c r="AI290" s="189">
        <v>1225</v>
      </c>
      <c r="AJ290" s="125">
        <v>1617.5730000000001</v>
      </c>
      <c r="AK290" s="149">
        <v>433</v>
      </c>
      <c r="AL290" s="221">
        <v>309</v>
      </c>
      <c r="AM290" s="216">
        <v>91.071428571428569</v>
      </c>
      <c r="AN290" s="213">
        <v>4.948453608247422</v>
      </c>
      <c r="AO290" s="127">
        <v>11.31</v>
      </c>
      <c r="AP290" s="133">
        <v>0.68200000000000005</v>
      </c>
      <c r="AQ290" s="224">
        <f t="shared" si="73"/>
        <v>1.2250000000000001</v>
      </c>
      <c r="AR290" s="158">
        <v>1000</v>
      </c>
      <c r="AS290" s="229">
        <f t="shared" si="74"/>
        <v>0.97145122918318794</v>
      </c>
      <c r="AT290" s="230">
        <v>1261</v>
      </c>
      <c r="AU290" s="203">
        <v>18.040816326530614</v>
      </c>
      <c r="AV290" s="204">
        <v>67.510204081632651</v>
      </c>
      <c r="AW290" s="205">
        <v>14.448979591836736</v>
      </c>
      <c r="AX290" s="123">
        <v>2.1818</v>
      </c>
      <c r="AY290" s="281">
        <v>6.9724770642201843</v>
      </c>
      <c r="AZ290" s="282">
        <v>40.183486238532112</v>
      </c>
      <c r="BA290" s="283">
        <f t="shared" si="75"/>
        <v>52.844036697247702</v>
      </c>
      <c r="BB290" s="234">
        <v>88.073394495412842</v>
      </c>
      <c r="BC290" s="20">
        <v>2016</v>
      </c>
      <c r="BD290" s="263" t="s">
        <v>556</v>
      </c>
      <c r="BE290" s="261" t="s">
        <v>556</v>
      </c>
      <c r="BF290" s="259" t="s">
        <v>556</v>
      </c>
      <c r="BG290" s="256">
        <v>63.453111305872042</v>
      </c>
      <c r="BH290" s="254" t="s">
        <v>557</v>
      </c>
      <c r="BI290" s="249">
        <v>0</v>
      </c>
      <c r="BJ290" s="308" t="s">
        <v>556</v>
      </c>
      <c r="BK290" s="307" t="s">
        <v>750</v>
      </c>
      <c r="BL290" s="319" t="s">
        <v>1728</v>
      </c>
      <c r="BM290" s="320" t="s">
        <v>556</v>
      </c>
      <c r="BN290" s="321" t="s">
        <v>1957</v>
      </c>
      <c r="BO290" s="145" t="s">
        <v>998</v>
      </c>
      <c r="BP290" s="14" t="s">
        <v>556</v>
      </c>
      <c r="BQ290" s="14" t="s">
        <v>556</v>
      </c>
    </row>
    <row r="291" spans="1:70" s="72" customFormat="1" ht="13.95" customHeight="1" x14ac:dyDescent="0.3">
      <c r="A291" s="56" t="s">
        <v>459</v>
      </c>
      <c r="B291" s="57" t="s">
        <v>462</v>
      </c>
      <c r="C291" s="55" t="s">
        <v>78</v>
      </c>
      <c r="D291" s="58">
        <v>1</v>
      </c>
      <c r="E291" s="59"/>
      <c r="F291" s="60" t="s">
        <v>452</v>
      </c>
      <c r="G291" s="61" t="s">
        <v>11</v>
      </c>
      <c r="H291" s="61" t="s">
        <v>11</v>
      </c>
      <c r="I291" s="62" t="s">
        <v>11</v>
      </c>
      <c r="J291" s="63" t="s">
        <v>2216</v>
      </c>
      <c r="K291" s="99" t="s">
        <v>932</v>
      </c>
      <c r="L291" s="130">
        <v>495581154</v>
      </c>
      <c r="M291" s="109" t="s">
        <v>537</v>
      </c>
      <c r="N291" s="12" t="s">
        <v>931</v>
      </c>
      <c r="O291" s="100"/>
      <c r="P291" s="131">
        <v>724187055</v>
      </c>
      <c r="Q291" s="67"/>
      <c r="R291" s="68"/>
      <c r="S291" s="99"/>
      <c r="T291" s="131"/>
      <c r="U291" s="170">
        <v>0</v>
      </c>
      <c r="V291" s="48">
        <f t="shared" si="63"/>
        <v>0</v>
      </c>
      <c r="W291" s="171">
        <f t="shared" si="64"/>
        <v>0</v>
      </c>
      <c r="X291" s="69">
        <v>0</v>
      </c>
      <c r="Y291" s="48">
        <f t="shared" si="65"/>
        <v>0</v>
      </c>
      <c r="Z291" s="137">
        <f t="shared" si="66"/>
        <v>0</v>
      </c>
      <c r="AA291" s="69">
        <v>0</v>
      </c>
      <c r="AB291" s="48">
        <f t="shared" si="67"/>
        <v>0</v>
      </c>
      <c r="AC291" s="137">
        <f t="shared" si="68"/>
        <v>0</v>
      </c>
      <c r="AD291" s="70">
        <f t="shared" si="69"/>
        <v>0</v>
      </c>
      <c r="AE291" s="71">
        <f t="shared" si="70"/>
        <v>0</v>
      </c>
      <c r="AF291" s="193">
        <f t="shared" si="71"/>
        <v>0</v>
      </c>
      <c r="AG291" s="185">
        <f t="shared" si="72"/>
        <v>0</v>
      </c>
      <c r="AH291" s="180">
        <f t="shared" si="62"/>
        <v>0</v>
      </c>
      <c r="AI291" s="189">
        <v>1888</v>
      </c>
      <c r="AJ291" s="125">
        <v>548.33550000000002</v>
      </c>
      <c r="AK291" s="149">
        <v>489</v>
      </c>
      <c r="AL291" s="221">
        <v>403</v>
      </c>
      <c r="AM291" s="216">
        <v>71.540880503144649</v>
      </c>
      <c r="AN291" s="213">
        <v>0.56657223796033995</v>
      </c>
      <c r="AO291" s="127">
        <v>17.992999999999999</v>
      </c>
      <c r="AP291" s="133">
        <v>4.899</v>
      </c>
      <c r="AQ291" s="224">
        <f t="shared" si="73"/>
        <v>1.2553191489361701</v>
      </c>
      <c r="AR291" s="158">
        <v>1504</v>
      </c>
      <c r="AS291" s="229">
        <f t="shared" si="74"/>
        <v>1.1540342298288508</v>
      </c>
      <c r="AT291" s="230">
        <v>1636</v>
      </c>
      <c r="AU291" s="203">
        <v>16.3135593220339</v>
      </c>
      <c r="AV291" s="204">
        <v>68.644067796610173</v>
      </c>
      <c r="AW291" s="205">
        <v>15.042372881355931</v>
      </c>
      <c r="AX291" s="123">
        <v>3.8759999999999999</v>
      </c>
      <c r="AY291" s="281">
        <v>1.7006802721088436</v>
      </c>
      <c r="AZ291" s="282">
        <v>33.560090702947846</v>
      </c>
      <c r="BA291" s="283">
        <f t="shared" si="75"/>
        <v>64.739229024943313</v>
      </c>
      <c r="BB291" s="234">
        <v>66.47834274952919</v>
      </c>
      <c r="BC291" s="19">
        <v>2010</v>
      </c>
      <c r="BD291" s="263" t="s">
        <v>556</v>
      </c>
      <c r="BE291" s="261" t="s">
        <v>556</v>
      </c>
      <c r="BF291" s="260" t="s">
        <v>557</v>
      </c>
      <c r="BG291" s="256">
        <v>43.844856661045533</v>
      </c>
      <c r="BH291" s="248" t="s">
        <v>556</v>
      </c>
      <c r="BI291" s="249">
        <v>81.140084899939353</v>
      </c>
      <c r="BJ291" s="308" t="s">
        <v>556</v>
      </c>
      <c r="BK291" s="307" t="s">
        <v>556</v>
      </c>
      <c r="BL291" s="319" t="s">
        <v>1728</v>
      </c>
      <c r="BM291" s="320" t="s">
        <v>556</v>
      </c>
      <c r="BN291" s="321" t="s">
        <v>1803</v>
      </c>
      <c r="BO291" s="21" t="s">
        <v>556</v>
      </c>
      <c r="BP291" s="10" t="s">
        <v>557</v>
      </c>
      <c r="BQ291" s="10" t="s">
        <v>556</v>
      </c>
      <c r="BR291" s="56"/>
    </row>
    <row r="292" spans="1:70" s="56" customFormat="1" ht="13.95" customHeight="1" x14ac:dyDescent="0.3">
      <c r="A292" s="56" t="s">
        <v>459</v>
      </c>
      <c r="B292" s="57" t="s">
        <v>462</v>
      </c>
      <c r="C292" s="55" t="s">
        <v>356</v>
      </c>
      <c r="D292" s="58">
        <v>1</v>
      </c>
      <c r="E292" s="59"/>
      <c r="F292" s="60" t="s">
        <v>455</v>
      </c>
      <c r="G292" s="61" t="s">
        <v>304</v>
      </c>
      <c r="H292" s="61" t="s">
        <v>38</v>
      </c>
      <c r="I292" s="62" t="s">
        <v>38</v>
      </c>
      <c r="J292" s="63" t="s">
        <v>749</v>
      </c>
      <c r="K292" s="99" t="s">
        <v>751</v>
      </c>
      <c r="L292" s="130" t="s">
        <v>752</v>
      </c>
      <c r="M292" s="109" t="s">
        <v>537</v>
      </c>
      <c r="N292" s="12" t="s">
        <v>570</v>
      </c>
      <c r="O292" s="100" t="s">
        <v>571</v>
      </c>
      <c r="P292" s="131">
        <v>603485369</v>
      </c>
      <c r="Q292" s="85" t="s">
        <v>537</v>
      </c>
      <c r="R292" s="68" t="s">
        <v>570</v>
      </c>
      <c r="S292" s="99" t="s">
        <v>571</v>
      </c>
      <c r="T292" s="131">
        <v>603485369</v>
      </c>
      <c r="U292" s="170">
        <f>400500+101269</f>
        <v>501769</v>
      </c>
      <c r="V292" s="48">
        <f t="shared" si="63"/>
        <v>797.72496025437204</v>
      </c>
      <c r="W292" s="171">
        <f t="shared" si="64"/>
        <v>535.70746045950705</v>
      </c>
      <c r="X292" s="69">
        <v>49000</v>
      </c>
      <c r="Y292" s="48">
        <f t="shared" si="65"/>
        <v>77.901430842607311</v>
      </c>
      <c r="Z292" s="137">
        <f t="shared" si="66"/>
        <v>52.314243332122636</v>
      </c>
      <c r="AA292" s="69">
        <v>0</v>
      </c>
      <c r="AB292" s="48">
        <f t="shared" si="67"/>
        <v>0</v>
      </c>
      <c r="AC292" s="137">
        <f t="shared" si="68"/>
        <v>0</v>
      </c>
      <c r="AD292" s="70">
        <f t="shared" si="69"/>
        <v>550769</v>
      </c>
      <c r="AE292" s="71">
        <f t="shared" si="70"/>
        <v>875.62639109697932</v>
      </c>
      <c r="AF292" s="193">
        <f t="shared" si="71"/>
        <v>588.02170379162965</v>
      </c>
      <c r="AG292" s="185">
        <f t="shared" si="72"/>
        <v>1.4773846566523604E-2</v>
      </c>
      <c r="AH292" s="180">
        <f t="shared" si="62"/>
        <v>8.798226837060702E-2</v>
      </c>
      <c r="AI292" s="189">
        <v>629</v>
      </c>
      <c r="AJ292" s="125">
        <v>936.64739999999995</v>
      </c>
      <c r="AK292" s="149">
        <v>230</v>
      </c>
      <c r="AL292" s="221">
        <v>154</v>
      </c>
      <c r="AM292" s="216">
        <v>85.128205128205124</v>
      </c>
      <c r="AN292" s="213">
        <v>11.673151750972764</v>
      </c>
      <c r="AO292" s="127">
        <v>7.4560000000000004</v>
      </c>
      <c r="AP292" s="133">
        <v>1.252</v>
      </c>
      <c r="AQ292" s="224">
        <f t="shared" si="73"/>
        <v>0.99683042789223453</v>
      </c>
      <c r="AR292" s="158">
        <v>631</v>
      </c>
      <c r="AS292" s="229">
        <f t="shared" si="74"/>
        <v>0.77177914110429446</v>
      </c>
      <c r="AT292" s="230">
        <v>815</v>
      </c>
      <c r="AU292" s="203">
        <v>15.898251192368839</v>
      </c>
      <c r="AV292" s="204">
        <v>62.798092209856918</v>
      </c>
      <c r="AW292" s="205">
        <v>21.303656597774246</v>
      </c>
      <c r="AX292" s="123">
        <v>2.0049999999999999</v>
      </c>
      <c r="AY292" s="281">
        <v>11.200000000000001</v>
      </c>
      <c r="AZ292" s="282">
        <v>34.4</v>
      </c>
      <c r="BA292" s="283">
        <f t="shared" si="75"/>
        <v>54.4</v>
      </c>
      <c r="BB292" s="234">
        <v>76.041666666666671</v>
      </c>
      <c r="BC292" s="20">
        <v>2016</v>
      </c>
      <c r="BD292" s="263" t="s">
        <v>556</v>
      </c>
      <c r="BE292" s="261" t="s">
        <v>556</v>
      </c>
      <c r="BF292" s="260" t="s">
        <v>557</v>
      </c>
      <c r="BG292" s="256">
        <v>46.590909090909086</v>
      </c>
      <c r="BH292" s="254" t="s">
        <v>557</v>
      </c>
      <c r="BI292" s="249">
        <v>0</v>
      </c>
      <c r="BJ292" s="308" t="s">
        <v>556</v>
      </c>
      <c r="BK292" s="307" t="s">
        <v>750</v>
      </c>
      <c r="BL292" s="319" t="s">
        <v>1728</v>
      </c>
      <c r="BM292" s="320" t="s">
        <v>556</v>
      </c>
      <c r="BN292" s="321" t="s">
        <v>1688</v>
      </c>
      <c r="BO292" s="145" t="s">
        <v>556</v>
      </c>
      <c r="BP292" s="14" t="s">
        <v>556</v>
      </c>
      <c r="BQ292" s="14" t="s">
        <v>557</v>
      </c>
      <c r="BR292" s="72"/>
    </row>
    <row r="293" spans="1:70" s="56" customFormat="1" ht="13.95" customHeight="1" x14ac:dyDescent="0.3">
      <c r="A293" s="56" t="s">
        <v>459</v>
      </c>
      <c r="B293" s="57" t="s">
        <v>462</v>
      </c>
      <c r="C293" s="55" t="s">
        <v>79</v>
      </c>
      <c r="D293" s="58">
        <v>1</v>
      </c>
      <c r="E293" s="59"/>
      <c r="F293" s="60" t="s">
        <v>452</v>
      </c>
      <c r="G293" s="61" t="s">
        <v>11</v>
      </c>
      <c r="H293" s="61" t="s">
        <v>524</v>
      </c>
      <c r="I293" s="62" t="s">
        <v>524</v>
      </c>
      <c r="J293" s="63" t="s">
        <v>2217</v>
      </c>
      <c r="K293" s="99" t="s">
        <v>934</v>
      </c>
      <c r="L293" s="130">
        <v>495486041</v>
      </c>
      <c r="M293" s="109" t="s">
        <v>564</v>
      </c>
      <c r="N293" s="12" t="s">
        <v>933</v>
      </c>
      <c r="O293" s="100"/>
      <c r="P293" s="131">
        <v>733115736</v>
      </c>
      <c r="Q293" s="67"/>
      <c r="R293" s="68"/>
      <c r="S293" s="99"/>
      <c r="T293" s="65"/>
      <c r="U293" s="170">
        <v>0</v>
      </c>
      <c r="V293" s="48">
        <f t="shared" si="63"/>
        <v>0</v>
      </c>
      <c r="W293" s="171">
        <f t="shared" si="64"/>
        <v>0</v>
      </c>
      <c r="X293" s="69">
        <v>0</v>
      </c>
      <c r="Y293" s="48">
        <f t="shared" si="65"/>
        <v>0</v>
      </c>
      <c r="Z293" s="137">
        <f t="shared" si="66"/>
        <v>0</v>
      </c>
      <c r="AA293" s="69">
        <v>0</v>
      </c>
      <c r="AB293" s="48">
        <f t="shared" si="67"/>
        <v>0</v>
      </c>
      <c r="AC293" s="137">
        <f t="shared" si="68"/>
        <v>0</v>
      </c>
      <c r="AD293" s="70">
        <f t="shared" si="69"/>
        <v>0</v>
      </c>
      <c r="AE293" s="71">
        <f t="shared" si="70"/>
        <v>0</v>
      </c>
      <c r="AF293" s="193">
        <f t="shared" si="71"/>
        <v>0</v>
      </c>
      <c r="AG293" s="185">
        <f t="shared" si="72"/>
        <v>0</v>
      </c>
      <c r="AH293" s="180">
        <f t="shared" si="62"/>
        <v>0</v>
      </c>
      <c r="AI293" s="189">
        <v>322</v>
      </c>
      <c r="AJ293" s="125">
        <v>438.56950000000001</v>
      </c>
      <c r="AK293" s="149">
        <v>135</v>
      </c>
      <c r="AL293" s="221">
        <v>92</v>
      </c>
      <c r="AM293" s="216">
        <v>73.4375</v>
      </c>
      <c r="AN293" s="213">
        <v>0.58823529411764708</v>
      </c>
      <c r="AO293" s="127">
        <v>2.5609999999999999</v>
      </c>
      <c r="AP293" s="133">
        <v>0.3</v>
      </c>
      <c r="AQ293" s="224">
        <f t="shared" si="73"/>
        <v>0.93604651162790697</v>
      </c>
      <c r="AR293" s="158">
        <v>344</v>
      </c>
      <c r="AS293" s="229">
        <f t="shared" si="74"/>
        <v>0.73181818181818181</v>
      </c>
      <c r="AT293" s="230">
        <v>440</v>
      </c>
      <c r="AU293" s="203">
        <v>15.838509316770185</v>
      </c>
      <c r="AV293" s="204">
        <v>67.080745341614914</v>
      </c>
      <c r="AW293" s="205">
        <v>17.080745341614907</v>
      </c>
      <c r="AX293" s="123">
        <v>11.312200000000001</v>
      </c>
      <c r="AY293" s="281">
        <v>6.2992125984251963</v>
      </c>
      <c r="AZ293" s="282">
        <v>40.15748031496063</v>
      </c>
      <c r="BA293" s="283">
        <f t="shared" si="75"/>
        <v>53.54330708661417</v>
      </c>
      <c r="BB293" s="234">
        <v>86.31578947368422</v>
      </c>
      <c r="BC293" s="20">
        <v>2006</v>
      </c>
      <c r="BD293" s="263" t="s">
        <v>556</v>
      </c>
      <c r="BE293" s="261" t="s">
        <v>556</v>
      </c>
      <c r="BF293" s="260" t="s">
        <v>557</v>
      </c>
      <c r="BG293" s="256">
        <v>33.22784810126582</v>
      </c>
      <c r="BH293" s="248" t="s">
        <v>556</v>
      </c>
      <c r="BI293" s="249">
        <v>27.39273927392739</v>
      </c>
      <c r="BJ293" s="308" t="s">
        <v>556</v>
      </c>
      <c r="BK293" s="307" t="s">
        <v>557</v>
      </c>
      <c r="BL293" s="319" t="s">
        <v>1728</v>
      </c>
      <c r="BM293" s="320" t="s">
        <v>556</v>
      </c>
      <c r="BN293" s="321" t="s">
        <v>1767</v>
      </c>
      <c r="BO293" s="145" t="s">
        <v>557</v>
      </c>
      <c r="BP293" s="14" t="s">
        <v>556</v>
      </c>
      <c r="BQ293" s="14" t="s">
        <v>556</v>
      </c>
    </row>
    <row r="294" spans="1:70" s="56" customFormat="1" ht="13.95" customHeight="1" x14ac:dyDescent="0.3">
      <c r="A294" s="56" t="s">
        <v>459</v>
      </c>
      <c r="B294" s="57" t="s">
        <v>462</v>
      </c>
      <c r="C294" s="55" t="s">
        <v>270</v>
      </c>
      <c r="D294" s="58">
        <v>1</v>
      </c>
      <c r="E294" s="59"/>
      <c r="F294" s="60" t="s">
        <v>454</v>
      </c>
      <c r="G294" s="61" t="s">
        <v>526</v>
      </c>
      <c r="H294" s="61" t="s">
        <v>526</v>
      </c>
      <c r="I294" s="62" t="s">
        <v>526</v>
      </c>
      <c r="J294" s="63" t="s">
        <v>2213</v>
      </c>
      <c r="K294" s="99" t="s">
        <v>1340</v>
      </c>
      <c r="L294" s="130"/>
      <c r="M294" s="109" t="s">
        <v>537</v>
      </c>
      <c r="N294" s="12" t="s">
        <v>1339</v>
      </c>
      <c r="O294" s="100"/>
      <c r="P294" s="131">
        <v>702125544</v>
      </c>
      <c r="Q294" s="67"/>
      <c r="R294" s="68"/>
      <c r="S294" s="99"/>
      <c r="T294" s="65"/>
      <c r="U294" s="170">
        <v>0</v>
      </c>
      <c r="V294" s="48">
        <f t="shared" si="63"/>
        <v>0</v>
      </c>
      <c r="W294" s="171">
        <f t="shared" si="64"/>
        <v>0</v>
      </c>
      <c r="X294" s="69">
        <v>0</v>
      </c>
      <c r="Y294" s="48">
        <f t="shared" si="65"/>
        <v>0</v>
      </c>
      <c r="Z294" s="137">
        <f t="shared" si="66"/>
        <v>0</v>
      </c>
      <c r="AA294" s="69">
        <v>0</v>
      </c>
      <c r="AB294" s="48">
        <f t="shared" si="67"/>
        <v>0</v>
      </c>
      <c r="AC294" s="137">
        <f t="shared" si="68"/>
        <v>0</v>
      </c>
      <c r="AD294" s="70">
        <f t="shared" si="69"/>
        <v>0</v>
      </c>
      <c r="AE294" s="71">
        <f t="shared" si="70"/>
        <v>0</v>
      </c>
      <c r="AF294" s="193">
        <f t="shared" si="71"/>
        <v>0</v>
      </c>
      <c r="AG294" s="185">
        <f t="shared" si="72"/>
        <v>0</v>
      </c>
      <c r="AH294" s="180">
        <f t="shared" si="62"/>
        <v>0</v>
      </c>
      <c r="AI294" s="189">
        <v>173</v>
      </c>
      <c r="AJ294" s="125">
        <v>349.79430000000002</v>
      </c>
      <c r="AK294" s="149">
        <v>73</v>
      </c>
      <c r="AL294" s="221">
        <v>50</v>
      </c>
      <c r="AM294" s="216">
        <v>93.442622950819683</v>
      </c>
      <c r="AN294" s="213">
        <v>14.814814814814817</v>
      </c>
      <c r="AO294" s="127">
        <v>1.516</v>
      </c>
      <c r="AP294" s="133">
        <v>0.60399999999999998</v>
      </c>
      <c r="AQ294" s="224">
        <f t="shared" si="73"/>
        <v>1.2446043165467626</v>
      </c>
      <c r="AR294" s="158">
        <v>139</v>
      </c>
      <c r="AS294" s="229">
        <f t="shared" si="74"/>
        <v>0.82380952380952377</v>
      </c>
      <c r="AT294" s="230">
        <v>210</v>
      </c>
      <c r="AU294" s="203">
        <v>12.626262626262626</v>
      </c>
      <c r="AV294" s="204">
        <v>74.242424242424235</v>
      </c>
      <c r="AW294" s="205">
        <v>13.131313131313133</v>
      </c>
      <c r="AX294" s="123">
        <v>2.0407999999999999</v>
      </c>
      <c r="AY294" s="281">
        <v>7.9545454545454541</v>
      </c>
      <c r="AZ294" s="282">
        <v>42.045454545454547</v>
      </c>
      <c r="BA294" s="283">
        <f t="shared" si="75"/>
        <v>50</v>
      </c>
      <c r="BB294" s="234">
        <v>80.952380952380949</v>
      </c>
      <c r="BC294" s="20">
        <v>2014</v>
      </c>
      <c r="BD294" s="263" t="s">
        <v>556</v>
      </c>
      <c r="BE294" s="261" t="s">
        <v>556</v>
      </c>
      <c r="BF294" s="260" t="s">
        <v>557</v>
      </c>
      <c r="BG294" s="256">
        <v>10.404624277456648</v>
      </c>
      <c r="BH294" s="254" t="s">
        <v>557</v>
      </c>
      <c r="BI294" s="249">
        <v>0</v>
      </c>
      <c r="BJ294" s="309" t="s">
        <v>557</v>
      </c>
      <c r="BK294" s="307" t="s">
        <v>557</v>
      </c>
      <c r="BL294" s="319" t="s">
        <v>1728</v>
      </c>
      <c r="BM294" s="320" t="s">
        <v>556</v>
      </c>
      <c r="BN294" s="321" t="s">
        <v>1781</v>
      </c>
      <c r="BO294" s="145" t="s">
        <v>557</v>
      </c>
      <c r="BP294" s="14" t="s">
        <v>557</v>
      </c>
      <c r="BQ294" s="14" t="s">
        <v>557</v>
      </c>
    </row>
    <row r="295" spans="1:70" s="56" customFormat="1" ht="13.95" customHeight="1" x14ac:dyDescent="0.3">
      <c r="A295" s="56" t="s">
        <v>459</v>
      </c>
      <c r="B295" s="57" t="s">
        <v>462</v>
      </c>
      <c r="C295" s="55" t="s">
        <v>80</v>
      </c>
      <c r="D295" s="58">
        <v>1</v>
      </c>
      <c r="E295" s="59"/>
      <c r="F295" s="60" t="s">
        <v>452</v>
      </c>
      <c r="G295" s="61" t="s">
        <v>11</v>
      </c>
      <c r="H295" s="61" t="s">
        <v>16</v>
      </c>
      <c r="I295" s="62" t="s">
        <v>16</v>
      </c>
      <c r="J295" s="63" t="s">
        <v>2219</v>
      </c>
      <c r="K295" s="99" t="s">
        <v>935</v>
      </c>
      <c r="M295" s="109" t="s">
        <v>537</v>
      </c>
      <c r="N295" s="12" t="s">
        <v>2218</v>
      </c>
      <c r="O295" s="100"/>
      <c r="P295" s="130">
        <v>775922049</v>
      </c>
      <c r="Q295" s="67"/>
      <c r="R295" s="68"/>
      <c r="S295" s="99"/>
      <c r="T295" s="65"/>
      <c r="U295" s="170">
        <f>600000+600000</f>
        <v>1200000</v>
      </c>
      <c r="V295" s="48">
        <f t="shared" si="63"/>
        <v>20338.983050847459</v>
      </c>
      <c r="W295" s="171">
        <f t="shared" si="64"/>
        <v>5299.1713420813821</v>
      </c>
      <c r="X295" s="69">
        <v>0</v>
      </c>
      <c r="Y295" s="48">
        <f t="shared" si="65"/>
        <v>0</v>
      </c>
      <c r="Z295" s="137">
        <f t="shared" si="66"/>
        <v>0</v>
      </c>
      <c r="AA295" s="69">
        <v>0</v>
      </c>
      <c r="AB295" s="48">
        <f t="shared" si="67"/>
        <v>0</v>
      </c>
      <c r="AC295" s="137">
        <f t="shared" si="68"/>
        <v>0</v>
      </c>
      <c r="AD295" s="70">
        <f t="shared" si="69"/>
        <v>1200000</v>
      </c>
      <c r="AE295" s="71">
        <f t="shared" si="70"/>
        <v>20338.983050847459</v>
      </c>
      <c r="AF295" s="193">
        <f t="shared" si="71"/>
        <v>5299.1713420813821</v>
      </c>
      <c r="AG295" s="185">
        <f t="shared" si="72"/>
        <v>0.26607538802660752</v>
      </c>
      <c r="AH295" s="180">
        <f t="shared" si="62"/>
        <v>0.52631578947368418</v>
      </c>
      <c r="AI295" s="189">
        <v>59</v>
      </c>
      <c r="AJ295" s="125">
        <v>226.45050000000001</v>
      </c>
      <c r="AK295" s="149">
        <v>37</v>
      </c>
      <c r="AL295" s="221">
        <v>19</v>
      </c>
      <c r="AM295" s="216">
        <v>91.666666666666657</v>
      </c>
      <c r="AN295" s="213">
        <v>37.5</v>
      </c>
      <c r="AO295" s="127">
        <v>0.90200000000000002</v>
      </c>
      <c r="AP295" s="133">
        <v>0.45600000000000002</v>
      </c>
      <c r="AQ295" s="224">
        <f t="shared" si="73"/>
        <v>1.2040816326530612</v>
      </c>
      <c r="AR295" s="158">
        <v>49</v>
      </c>
      <c r="AS295" s="229">
        <f t="shared" si="74"/>
        <v>0.40972222222222221</v>
      </c>
      <c r="AT295" s="230">
        <v>144</v>
      </c>
      <c r="AU295" s="203">
        <v>13.559322033898304</v>
      </c>
      <c r="AV295" s="204">
        <v>57.627118644067806</v>
      </c>
      <c r="AW295" s="205">
        <v>28.8135593220339</v>
      </c>
      <c r="AX295" s="123">
        <v>3.0303</v>
      </c>
      <c r="AY295" s="281">
        <v>9.5238095238095237</v>
      </c>
      <c r="AZ295" s="282">
        <v>42.857142857142854</v>
      </c>
      <c r="BA295" s="283">
        <f t="shared" si="75"/>
        <v>47.619047619047628</v>
      </c>
      <c r="BB295" s="234">
        <v>99.999999999999986</v>
      </c>
      <c r="BC295" s="20">
        <v>2010</v>
      </c>
      <c r="BD295" s="263" t="s">
        <v>556</v>
      </c>
      <c r="BE295" s="261" t="s">
        <v>556</v>
      </c>
      <c r="BF295" s="260" t="s">
        <v>557</v>
      </c>
      <c r="BG295" s="256">
        <v>27.777777777777779</v>
      </c>
      <c r="BH295" s="248" t="s">
        <v>556</v>
      </c>
      <c r="BI295" s="249">
        <v>42.307692307692307</v>
      </c>
      <c r="BJ295" s="309" t="s">
        <v>557</v>
      </c>
      <c r="BK295" s="307" t="s">
        <v>557</v>
      </c>
      <c r="BL295" s="319" t="s">
        <v>1728</v>
      </c>
      <c r="BM295" s="320" t="s">
        <v>557</v>
      </c>
      <c r="BN295" s="321" t="s">
        <v>1838</v>
      </c>
      <c r="BO295" s="145" t="s">
        <v>557</v>
      </c>
      <c r="BP295" s="14" t="s">
        <v>557</v>
      </c>
      <c r="BQ295" s="14" t="s">
        <v>557</v>
      </c>
    </row>
    <row r="296" spans="1:70" s="56" customFormat="1" ht="13.95" customHeight="1" x14ac:dyDescent="0.3">
      <c r="A296" s="56" t="s">
        <v>459</v>
      </c>
      <c r="B296" s="57" t="s">
        <v>462</v>
      </c>
      <c r="C296" s="55" t="s">
        <v>81</v>
      </c>
      <c r="D296" s="58">
        <v>1</v>
      </c>
      <c r="E296" s="59"/>
      <c r="F296" s="60" t="s">
        <v>452</v>
      </c>
      <c r="G296" s="61" t="s">
        <v>11</v>
      </c>
      <c r="H296" s="61" t="s">
        <v>16</v>
      </c>
      <c r="I296" s="62" t="s">
        <v>16</v>
      </c>
      <c r="J296" s="63" t="s">
        <v>2220</v>
      </c>
      <c r="K296" s="99" t="s">
        <v>936</v>
      </c>
      <c r="L296" s="130">
        <v>495444279</v>
      </c>
      <c r="M296" s="109" t="s">
        <v>564</v>
      </c>
      <c r="N296" s="12" t="s">
        <v>937</v>
      </c>
      <c r="O296" s="100"/>
      <c r="P296" s="131">
        <v>725081310</v>
      </c>
      <c r="Q296" s="67"/>
      <c r="R296" s="68"/>
      <c r="S296" s="99"/>
      <c r="T296" s="65"/>
      <c r="U296" s="170">
        <v>130000</v>
      </c>
      <c r="V296" s="48">
        <f t="shared" si="63"/>
        <v>1056.9105691056911</v>
      </c>
      <c r="W296" s="171">
        <f t="shared" si="64"/>
        <v>515.33682018154127</v>
      </c>
      <c r="X296" s="69">
        <v>0</v>
      </c>
      <c r="Y296" s="48">
        <f t="shared" si="65"/>
        <v>0</v>
      </c>
      <c r="Z296" s="137">
        <f t="shared" si="66"/>
        <v>0</v>
      </c>
      <c r="AA296" s="69">
        <v>0</v>
      </c>
      <c r="AB296" s="48">
        <f t="shared" si="67"/>
        <v>0</v>
      </c>
      <c r="AC296" s="137">
        <f t="shared" si="68"/>
        <v>0</v>
      </c>
      <c r="AD296" s="70">
        <f t="shared" si="69"/>
        <v>130000</v>
      </c>
      <c r="AE296" s="71">
        <f t="shared" si="70"/>
        <v>1056.9105691056911</v>
      </c>
      <c r="AF296" s="193">
        <f t="shared" si="71"/>
        <v>515.33682018154127</v>
      </c>
      <c r="AG296" s="185">
        <f t="shared" si="72"/>
        <v>2.2867194371152155E-2</v>
      </c>
      <c r="AH296" s="180" t="s">
        <v>457</v>
      </c>
      <c r="AI296" s="189">
        <v>123</v>
      </c>
      <c r="AJ296" s="125">
        <v>252.26220000000001</v>
      </c>
      <c r="AK296" s="149">
        <v>54</v>
      </c>
      <c r="AL296" s="221">
        <v>36</v>
      </c>
      <c r="AM296" s="216">
        <v>100</v>
      </c>
      <c r="AN296" s="213">
        <v>9.375</v>
      </c>
      <c r="AO296" s="127">
        <v>1.137</v>
      </c>
      <c r="AP296" s="133">
        <v>0</v>
      </c>
      <c r="AQ296" s="224">
        <f t="shared" si="73"/>
        <v>0.99193548387096775</v>
      </c>
      <c r="AR296" s="158">
        <v>124</v>
      </c>
      <c r="AS296" s="229">
        <f t="shared" si="74"/>
        <v>0.50409836065573765</v>
      </c>
      <c r="AT296" s="230">
        <v>244</v>
      </c>
      <c r="AU296" s="203">
        <v>12.195121951219512</v>
      </c>
      <c r="AV296" s="204">
        <v>60.162601626016269</v>
      </c>
      <c r="AW296" s="205">
        <v>27.64227642276423</v>
      </c>
      <c r="AX296" s="123">
        <v>0</v>
      </c>
      <c r="AY296" s="281">
        <v>14.545454545454545</v>
      </c>
      <c r="AZ296" s="282">
        <v>29.09090909090909</v>
      </c>
      <c r="BA296" s="283">
        <f t="shared" si="75"/>
        <v>56.36363636363636</v>
      </c>
      <c r="BB296" s="234">
        <v>89.473684210526315</v>
      </c>
      <c r="BC296" s="20">
        <v>2006</v>
      </c>
      <c r="BD296" s="263" t="s">
        <v>556</v>
      </c>
      <c r="BE296" s="261" t="s">
        <v>556</v>
      </c>
      <c r="BF296" s="259" t="s">
        <v>556</v>
      </c>
      <c r="BG296" s="256">
        <v>17.164179104477611</v>
      </c>
      <c r="BH296" s="248" t="s">
        <v>556</v>
      </c>
      <c r="BI296" s="249">
        <v>31.496062992125985</v>
      </c>
      <c r="BJ296" s="309" t="s">
        <v>557</v>
      </c>
      <c r="BK296" s="307" t="s">
        <v>557</v>
      </c>
      <c r="BL296" s="319" t="s">
        <v>1728</v>
      </c>
      <c r="BM296" s="320" t="s">
        <v>557</v>
      </c>
      <c r="BN296" s="321" t="s">
        <v>557</v>
      </c>
      <c r="BO296" s="145" t="s">
        <v>557</v>
      </c>
      <c r="BP296" s="14" t="s">
        <v>557</v>
      </c>
      <c r="BQ296" s="14" t="s">
        <v>557</v>
      </c>
    </row>
    <row r="297" spans="1:70" s="56" customFormat="1" ht="13.95" customHeight="1" x14ac:dyDescent="0.3">
      <c r="A297" s="56" t="s">
        <v>459</v>
      </c>
      <c r="B297" s="57" t="s">
        <v>462</v>
      </c>
      <c r="C297" s="55" t="s">
        <v>82</v>
      </c>
      <c r="D297" s="58">
        <v>1</v>
      </c>
      <c r="E297" s="59"/>
      <c r="F297" s="60" t="s">
        <v>452</v>
      </c>
      <c r="G297" s="61" t="s">
        <v>11</v>
      </c>
      <c r="H297" s="61" t="s">
        <v>13</v>
      </c>
      <c r="I297" s="62" t="s">
        <v>13</v>
      </c>
      <c r="J297" s="63" t="s">
        <v>2222</v>
      </c>
      <c r="K297" s="99" t="s">
        <v>939</v>
      </c>
      <c r="L297" s="131">
        <v>495426179</v>
      </c>
      <c r="M297" s="109" t="s">
        <v>564</v>
      </c>
      <c r="N297" s="12" t="s">
        <v>938</v>
      </c>
      <c r="O297" s="100"/>
      <c r="P297" s="131">
        <v>723532094</v>
      </c>
      <c r="Q297" s="67"/>
      <c r="R297" s="68"/>
      <c r="S297" s="99"/>
      <c r="T297" s="65"/>
      <c r="U297" s="170">
        <v>425000</v>
      </c>
      <c r="V297" s="48">
        <f t="shared" si="63"/>
        <v>2639.7515527950309</v>
      </c>
      <c r="W297" s="171">
        <f t="shared" si="64"/>
        <v>616.20610455814176</v>
      </c>
      <c r="X297" s="69">
        <v>4230</v>
      </c>
      <c r="Y297" s="48">
        <f t="shared" si="65"/>
        <v>26.273291925465838</v>
      </c>
      <c r="Z297" s="137">
        <f t="shared" si="66"/>
        <v>6.1330631112492702</v>
      </c>
      <c r="AA297" s="69">
        <v>0</v>
      </c>
      <c r="AB297" s="48">
        <f t="shared" si="67"/>
        <v>0</v>
      </c>
      <c r="AC297" s="137">
        <f t="shared" si="68"/>
        <v>0</v>
      </c>
      <c r="AD297" s="70">
        <f t="shared" si="69"/>
        <v>429230</v>
      </c>
      <c r="AE297" s="71">
        <f t="shared" si="70"/>
        <v>2666.0248447204967</v>
      </c>
      <c r="AF297" s="193">
        <f t="shared" si="71"/>
        <v>622.33916766939103</v>
      </c>
      <c r="AG297" s="185">
        <f t="shared" si="72"/>
        <v>5.982299651567944E-2</v>
      </c>
      <c r="AH297" s="180">
        <f t="shared" ref="AH297:AH328" si="76">IF(AD297=0,0,1/(AP297*5000000/AD297))</f>
        <v>0.44250515463917528</v>
      </c>
      <c r="AI297" s="189">
        <v>161</v>
      </c>
      <c r="AJ297" s="125">
        <v>689.70429999999999</v>
      </c>
      <c r="AK297" s="149">
        <v>89</v>
      </c>
      <c r="AL297" s="221">
        <v>54</v>
      </c>
      <c r="AM297" s="216">
        <v>98.245614035087712</v>
      </c>
      <c r="AN297" s="213">
        <v>13.953488372093021</v>
      </c>
      <c r="AO297" s="127">
        <v>1.4350000000000001</v>
      </c>
      <c r="AP297" s="133">
        <v>0.19400000000000001</v>
      </c>
      <c r="AQ297" s="224">
        <f t="shared" si="73"/>
        <v>1.0522875816993464</v>
      </c>
      <c r="AR297" s="158">
        <v>153</v>
      </c>
      <c r="AS297" s="229">
        <f t="shared" si="74"/>
        <v>0.36179775280898874</v>
      </c>
      <c r="AT297" s="230">
        <v>445</v>
      </c>
      <c r="AU297" s="203">
        <v>18.633540372670808</v>
      </c>
      <c r="AV297" s="204">
        <v>68.322981366459629</v>
      </c>
      <c r="AW297" s="205">
        <v>13.043478260869565</v>
      </c>
      <c r="AX297" s="123">
        <v>4.5454999999999997</v>
      </c>
      <c r="AY297" s="281">
        <v>14.705882352941178</v>
      </c>
      <c r="AZ297" s="282">
        <v>23.52941176470588</v>
      </c>
      <c r="BA297" s="283">
        <f t="shared" si="75"/>
        <v>61.764705882352942</v>
      </c>
      <c r="BB297" s="234">
        <v>86.84210526315789</v>
      </c>
      <c r="BC297" s="20">
        <v>2006</v>
      </c>
      <c r="BD297" s="264" t="s">
        <v>557</v>
      </c>
      <c r="BE297" s="261" t="s">
        <v>556</v>
      </c>
      <c r="BF297" s="260" t="s">
        <v>557</v>
      </c>
      <c r="BG297" s="256">
        <v>0</v>
      </c>
      <c r="BH297" s="248" t="s">
        <v>556</v>
      </c>
      <c r="BI297" s="249">
        <v>66.165413533834581</v>
      </c>
      <c r="BJ297" s="309" t="s">
        <v>557</v>
      </c>
      <c r="BK297" s="307" t="s">
        <v>557</v>
      </c>
      <c r="BL297" s="319" t="s">
        <v>1728</v>
      </c>
      <c r="BM297" s="320" t="s">
        <v>557</v>
      </c>
      <c r="BN297" s="321" t="s">
        <v>557</v>
      </c>
      <c r="BO297" s="145" t="s">
        <v>557</v>
      </c>
      <c r="BP297" s="14" t="s">
        <v>556</v>
      </c>
      <c r="BQ297" s="14" t="s">
        <v>557</v>
      </c>
    </row>
    <row r="298" spans="1:70" s="56" customFormat="1" ht="13.95" customHeight="1" x14ac:dyDescent="0.3">
      <c r="A298" s="3" t="s">
        <v>459</v>
      </c>
      <c r="B298" s="57" t="s">
        <v>462</v>
      </c>
      <c r="C298" s="55" t="s">
        <v>83</v>
      </c>
      <c r="D298" s="58">
        <v>1</v>
      </c>
      <c r="E298" s="59"/>
      <c r="F298" s="60" t="s">
        <v>452</v>
      </c>
      <c r="G298" s="61" t="s">
        <v>11</v>
      </c>
      <c r="H298" s="61" t="s">
        <v>11</v>
      </c>
      <c r="I298" s="62" t="s">
        <v>11</v>
      </c>
      <c r="J298" s="117" t="s">
        <v>2224</v>
      </c>
      <c r="K298" s="100" t="s">
        <v>940</v>
      </c>
      <c r="L298" s="130">
        <v>606653105</v>
      </c>
      <c r="M298" s="109" t="s">
        <v>564</v>
      </c>
      <c r="N298" s="12" t="s">
        <v>941</v>
      </c>
      <c r="O298" s="100"/>
      <c r="P298" s="131">
        <v>731449046</v>
      </c>
      <c r="Q298" s="67"/>
      <c r="R298" s="12"/>
      <c r="S298" s="100"/>
      <c r="T298" s="66"/>
      <c r="U298" s="170">
        <v>0</v>
      </c>
      <c r="V298" s="48">
        <f t="shared" si="63"/>
        <v>0</v>
      </c>
      <c r="W298" s="171">
        <f t="shared" si="64"/>
        <v>0</v>
      </c>
      <c r="X298" s="69">
        <v>0</v>
      </c>
      <c r="Y298" s="48">
        <f t="shared" si="65"/>
        <v>0</v>
      </c>
      <c r="Z298" s="137">
        <f t="shared" si="66"/>
        <v>0</v>
      </c>
      <c r="AA298" s="69">
        <v>0</v>
      </c>
      <c r="AB298" s="48">
        <f t="shared" si="67"/>
        <v>0</v>
      </c>
      <c r="AC298" s="137">
        <f t="shared" si="68"/>
        <v>0</v>
      </c>
      <c r="AD298" s="70">
        <f t="shared" si="69"/>
        <v>0</v>
      </c>
      <c r="AE298" s="71">
        <f t="shared" si="70"/>
        <v>0</v>
      </c>
      <c r="AF298" s="193">
        <f t="shared" si="71"/>
        <v>0</v>
      </c>
      <c r="AG298" s="185">
        <f t="shared" si="72"/>
        <v>0</v>
      </c>
      <c r="AH298" s="180">
        <f t="shared" si="76"/>
        <v>0</v>
      </c>
      <c r="AI298" s="189">
        <v>190</v>
      </c>
      <c r="AJ298" s="125">
        <v>383.5675</v>
      </c>
      <c r="AK298" s="149">
        <v>60</v>
      </c>
      <c r="AL298" s="221">
        <v>46</v>
      </c>
      <c r="AM298" s="216">
        <v>88.52459016393442</v>
      </c>
      <c r="AN298" s="213">
        <v>1.3888888888888888</v>
      </c>
      <c r="AO298" s="127">
        <v>1.599</v>
      </c>
      <c r="AP298" s="133">
        <v>0</v>
      </c>
      <c r="AQ298" s="224">
        <f t="shared" si="73"/>
        <v>1.2418300653594772</v>
      </c>
      <c r="AR298" s="158">
        <v>153</v>
      </c>
      <c r="AS298" s="229">
        <f t="shared" si="74"/>
        <v>1.0614525139664805</v>
      </c>
      <c r="AT298" s="230">
        <v>179</v>
      </c>
      <c r="AU298" s="203">
        <v>19.473684210526315</v>
      </c>
      <c r="AV298" s="204">
        <v>68.421052631578945</v>
      </c>
      <c r="AW298" s="205">
        <v>12.105263157894736</v>
      </c>
      <c r="AX298" s="123">
        <v>4.6154000000000002</v>
      </c>
      <c r="AY298" s="281">
        <v>10.256410256410255</v>
      </c>
      <c r="AZ298" s="282">
        <v>30.76923076923077</v>
      </c>
      <c r="BA298" s="283">
        <f t="shared" si="75"/>
        <v>58.974358974358978</v>
      </c>
      <c r="BB298" s="234">
        <v>82.222222222222214</v>
      </c>
      <c r="BC298" s="19">
        <v>2014</v>
      </c>
      <c r="BD298" s="263" t="s">
        <v>556</v>
      </c>
      <c r="BE298" s="261" t="s">
        <v>556</v>
      </c>
      <c r="BF298" s="260" t="s">
        <v>557</v>
      </c>
      <c r="BG298" s="256">
        <v>6.3218390804597711</v>
      </c>
      <c r="BH298" s="248" t="s">
        <v>556</v>
      </c>
      <c r="BI298" s="249">
        <v>80.503144654088061</v>
      </c>
      <c r="BJ298" s="309" t="s">
        <v>557</v>
      </c>
      <c r="BK298" s="307" t="s">
        <v>557</v>
      </c>
      <c r="BL298" s="319" t="s">
        <v>1728</v>
      </c>
      <c r="BM298" s="320" t="s">
        <v>556</v>
      </c>
      <c r="BN298" s="321" t="s">
        <v>1838</v>
      </c>
      <c r="BO298" s="21" t="s">
        <v>557</v>
      </c>
      <c r="BP298" s="10" t="s">
        <v>557</v>
      </c>
      <c r="BQ298" s="10" t="s">
        <v>557</v>
      </c>
    </row>
    <row r="299" spans="1:70" s="72" customFormat="1" ht="13.95" customHeight="1" x14ac:dyDescent="0.3">
      <c r="A299" s="56" t="s">
        <v>459</v>
      </c>
      <c r="B299" s="57" t="s">
        <v>462</v>
      </c>
      <c r="C299" s="55" t="s">
        <v>179</v>
      </c>
      <c r="D299" s="58">
        <v>5</v>
      </c>
      <c r="E299" s="59" t="s">
        <v>598</v>
      </c>
      <c r="F299" s="60" t="s">
        <v>453</v>
      </c>
      <c r="G299" s="61" t="s">
        <v>113</v>
      </c>
      <c r="H299" s="61" t="s">
        <v>113</v>
      </c>
      <c r="I299" s="62" t="s">
        <v>113</v>
      </c>
      <c r="J299" s="63" t="s">
        <v>2225</v>
      </c>
      <c r="K299" s="99" t="s">
        <v>1136</v>
      </c>
      <c r="L299" s="130">
        <v>493597125</v>
      </c>
      <c r="M299" s="109" t="s">
        <v>537</v>
      </c>
      <c r="N299" s="12" t="s">
        <v>1135</v>
      </c>
      <c r="O299" s="100"/>
      <c r="P299" s="131">
        <v>603490614</v>
      </c>
      <c r="Q299" s="67"/>
      <c r="R299" s="68"/>
      <c r="S299" s="99"/>
      <c r="T299" s="65"/>
      <c r="U299" s="170">
        <f>53640+41928+114716+489704</f>
        <v>699988</v>
      </c>
      <c r="V299" s="48">
        <f t="shared" si="63"/>
        <v>1643.1643192488264</v>
      </c>
      <c r="W299" s="171">
        <f t="shared" si="64"/>
        <v>674.29090834129499</v>
      </c>
      <c r="X299" s="69">
        <v>0</v>
      </c>
      <c r="Y299" s="48">
        <f t="shared" si="65"/>
        <v>0</v>
      </c>
      <c r="Z299" s="137">
        <f t="shared" si="66"/>
        <v>0</v>
      </c>
      <c r="AA299" s="69">
        <v>0</v>
      </c>
      <c r="AB299" s="48">
        <f t="shared" si="67"/>
        <v>0</v>
      </c>
      <c r="AC299" s="137">
        <f t="shared" si="68"/>
        <v>0</v>
      </c>
      <c r="AD299" s="70">
        <f t="shared" si="69"/>
        <v>699988</v>
      </c>
      <c r="AE299" s="71">
        <f t="shared" si="70"/>
        <v>1643.1643192488264</v>
      </c>
      <c r="AF299" s="193">
        <f t="shared" si="71"/>
        <v>674.29090834129499</v>
      </c>
      <c r="AG299" s="185">
        <f t="shared" si="72"/>
        <v>3.0527169646750982E-2</v>
      </c>
      <c r="AH299" s="180">
        <f t="shared" si="76"/>
        <v>0.13108389513108615</v>
      </c>
      <c r="AI299" s="189">
        <v>426</v>
      </c>
      <c r="AJ299" s="125">
        <v>1038.1098</v>
      </c>
      <c r="AK299" s="149">
        <v>249</v>
      </c>
      <c r="AL299" s="221">
        <v>119</v>
      </c>
      <c r="AM299" s="216">
        <v>85.064935064935071</v>
      </c>
      <c r="AN299" s="213">
        <v>31.889763779527559</v>
      </c>
      <c r="AO299" s="127">
        <v>4.5860000000000003</v>
      </c>
      <c r="AP299" s="133">
        <v>1.0680000000000001</v>
      </c>
      <c r="AQ299" s="224">
        <f t="shared" si="73"/>
        <v>1.1329787234042554</v>
      </c>
      <c r="AR299" s="158">
        <v>376</v>
      </c>
      <c r="AS299" s="229">
        <f t="shared" si="74"/>
        <v>0.51387213510253316</v>
      </c>
      <c r="AT299" s="230">
        <v>829</v>
      </c>
      <c r="AU299" s="203">
        <v>16.197183098591552</v>
      </c>
      <c r="AV299" s="204">
        <v>65.02347417840376</v>
      </c>
      <c r="AW299" s="205">
        <v>18.779342723004692</v>
      </c>
      <c r="AX299" s="123">
        <v>3.9426999999999999</v>
      </c>
      <c r="AY299" s="281">
        <v>13.218390804597702</v>
      </c>
      <c r="AZ299" s="282">
        <v>36.206896551724135</v>
      </c>
      <c r="BA299" s="283">
        <f t="shared" si="75"/>
        <v>50.574712643678161</v>
      </c>
      <c r="BB299" s="234">
        <v>62.790697674418603</v>
      </c>
      <c r="BC299" s="20">
        <v>1993</v>
      </c>
      <c r="BD299" s="263" t="s">
        <v>556</v>
      </c>
      <c r="BE299" s="262" t="s">
        <v>557</v>
      </c>
      <c r="BF299" s="260" t="s">
        <v>557</v>
      </c>
      <c r="BG299" s="256">
        <v>0</v>
      </c>
      <c r="BH299" s="254" t="s">
        <v>557</v>
      </c>
      <c r="BI299" s="249">
        <v>0</v>
      </c>
      <c r="BJ299" s="308" t="s">
        <v>556</v>
      </c>
      <c r="BK299" s="307" t="s">
        <v>750</v>
      </c>
      <c r="BL299" s="319" t="s">
        <v>1728</v>
      </c>
      <c r="BM299" s="320" t="s">
        <v>556</v>
      </c>
      <c r="BN299" s="321" t="s">
        <v>1957</v>
      </c>
      <c r="BO299" s="145" t="s">
        <v>556</v>
      </c>
      <c r="BP299" s="14" t="s">
        <v>556</v>
      </c>
      <c r="BQ299" s="14" t="s">
        <v>557</v>
      </c>
      <c r="BR299" s="56"/>
    </row>
    <row r="300" spans="1:70" s="56" customFormat="1" ht="13.95" customHeight="1" x14ac:dyDescent="0.3">
      <c r="A300" s="56" t="s">
        <v>459</v>
      </c>
      <c r="B300" s="57" t="s">
        <v>462</v>
      </c>
      <c r="C300" s="55" t="s">
        <v>84</v>
      </c>
      <c r="D300" s="58">
        <v>1</v>
      </c>
      <c r="E300" s="97" t="s">
        <v>510</v>
      </c>
      <c r="F300" s="60" t="s">
        <v>452</v>
      </c>
      <c r="G300" s="61" t="s">
        <v>11</v>
      </c>
      <c r="H300" s="61" t="s">
        <v>11</v>
      </c>
      <c r="I300" s="62" t="s">
        <v>11</v>
      </c>
      <c r="J300" s="63" t="s">
        <v>2223</v>
      </c>
      <c r="K300" s="99" t="s">
        <v>943</v>
      </c>
      <c r="L300" s="130"/>
      <c r="M300" s="109" t="s">
        <v>537</v>
      </c>
      <c r="N300" s="12" t="s">
        <v>942</v>
      </c>
      <c r="O300" s="100"/>
      <c r="P300" s="131">
        <v>775783231</v>
      </c>
      <c r="Q300" s="67"/>
      <c r="R300" s="68"/>
      <c r="S300" s="99"/>
      <c r="T300" s="65"/>
      <c r="U300" s="170">
        <v>0</v>
      </c>
      <c r="V300" s="48">
        <f t="shared" si="63"/>
        <v>0</v>
      </c>
      <c r="W300" s="171">
        <f t="shared" si="64"/>
        <v>0</v>
      </c>
      <c r="X300" s="69">
        <v>0</v>
      </c>
      <c r="Y300" s="48">
        <f t="shared" si="65"/>
        <v>0</v>
      </c>
      <c r="Z300" s="137">
        <f t="shared" si="66"/>
        <v>0</v>
      </c>
      <c r="AA300" s="69">
        <v>0</v>
      </c>
      <c r="AB300" s="48">
        <f t="shared" si="67"/>
        <v>0</v>
      </c>
      <c r="AC300" s="137">
        <f t="shared" si="68"/>
        <v>0</v>
      </c>
      <c r="AD300" s="70">
        <f t="shared" si="69"/>
        <v>0</v>
      </c>
      <c r="AE300" s="71">
        <f t="shared" si="70"/>
        <v>0</v>
      </c>
      <c r="AF300" s="193">
        <f t="shared" si="71"/>
        <v>0</v>
      </c>
      <c r="AG300" s="185">
        <f t="shared" si="72"/>
        <v>0</v>
      </c>
      <c r="AH300" s="180">
        <f t="shared" si="76"/>
        <v>0</v>
      </c>
      <c r="AI300" s="189">
        <v>133</v>
      </c>
      <c r="AJ300" s="125">
        <v>388.33</v>
      </c>
      <c r="AK300" s="149">
        <v>67</v>
      </c>
      <c r="AL300" s="221">
        <v>38</v>
      </c>
      <c r="AM300" s="216">
        <v>100</v>
      </c>
      <c r="AN300" s="213">
        <v>10.606060606060607</v>
      </c>
      <c r="AO300" s="127">
        <v>1.052</v>
      </c>
      <c r="AP300" s="133">
        <v>0.127</v>
      </c>
      <c r="AQ300" s="224">
        <f t="shared" si="73"/>
        <v>1.2666666666666666</v>
      </c>
      <c r="AR300" s="158">
        <v>105</v>
      </c>
      <c r="AS300" s="229">
        <f t="shared" si="74"/>
        <v>0.73480662983425415</v>
      </c>
      <c r="AT300" s="230">
        <v>181</v>
      </c>
      <c r="AU300" s="203">
        <v>12.030075187969924</v>
      </c>
      <c r="AV300" s="204">
        <v>70.676691729323309</v>
      </c>
      <c r="AW300" s="205">
        <v>17.293233082706767</v>
      </c>
      <c r="AX300" s="123">
        <v>1.0417000000000001</v>
      </c>
      <c r="AY300" s="281">
        <v>10.606060606060606</v>
      </c>
      <c r="AZ300" s="282">
        <v>28.787878787878789</v>
      </c>
      <c r="BA300" s="283">
        <f t="shared" si="75"/>
        <v>60.606060606060602</v>
      </c>
      <c r="BB300" s="234">
        <v>88.571428571428584</v>
      </c>
      <c r="BC300" s="20">
        <v>2013</v>
      </c>
      <c r="BD300" s="264" t="s">
        <v>557</v>
      </c>
      <c r="BE300" s="262" t="s">
        <v>557</v>
      </c>
      <c r="BF300" s="260" t="s">
        <v>557</v>
      </c>
      <c r="BG300" s="256">
        <v>0</v>
      </c>
      <c r="BH300" s="248" t="s">
        <v>556</v>
      </c>
      <c r="BI300" s="249">
        <v>64.122137404580144</v>
      </c>
      <c r="BJ300" s="309" t="s">
        <v>557</v>
      </c>
      <c r="BK300" s="307" t="s">
        <v>557</v>
      </c>
      <c r="BL300" s="319" t="s">
        <v>1728</v>
      </c>
      <c r="BM300" s="320" t="s">
        <v>556</v>
      </c>
      <c r="BN300" s="321" t="s">
        <v>1838</v>
      </c>
      <c r="BO300" s="145" t="s">
        <v>557</v>
      </c>
      <c r="BP300" s="14" t="s">
        <v>557</v>
      </c>
      <c r="BQ300" s="14" t="s">
        <v>557</v>
      </c>
    </row>
    <row r="301" spans="1:70" s="72" customFormat="1" ht="13.95" customHeight="1" x14ac:dyDescent="0.3">
      <c r="A301" s="56" t="s">
        <v>459</v>
      </c>
      <c r="B301" s="57" t="s">
        <v>462</v>
      </c>
      <c r="C301" s="55" t="s">
        <v>434</v>
      </c>
      <c r="D301" s="58">
        <v>1</v>
      </c>
      <c r="E301" s="97" t="s">
        <v>1004</v>
      </c>
      <c r="F301" s="60" t="s">
        <v>456</v>
      </c>
      <c r="G301" s="61" t="s">
        <v>378</v>
      </c>
      <c r="H301" s="61" t="s">
        <v>378</v>
      </c>
      <c r="I301" s="62" t="s">
        <v>378</v>
      </c>
      <c r="J301" s="63" t="s">
        <v>2221</v>
      </c>
      <c r="K301" s="101" t="s">
        <v>1604</v>
      </c>
      <c r="L301" s="130"/>
      <c r="M301" s="109" t="s">
        <v>564</v>
      </c>
      <c r="N301" s="12" t="s">
        <v>1632</v>
      </c>
      <c r="O301" s="100"/>
      <c r="P301" s="131">
        <v>603719422</v>
      </c>
      <c r="Q301" s="84"/>
      <c r="R301" s="56"/>
      <c r="S301" s="105"/>
      <c r="T301" s="112"/>
      <c r="U301" s="170">
        <v>787491</v>
      </c>
      <c r="V301" s="48">
        <f t="shared" si="63"/>
        <v>798.67241379310349</v>
      </c>
      <c r="W301" s="171">
        <f t="shared" si="64"/>
        <v>732.00917015796438</v>
      </c>
      <c r="X301" s="69">
        <f>436774+29000</f>
        <v>465774</v>
      </c>
      <c r="Y301" s="48">
        <f t="shared" si="65"/>
        <v>472.38742393509131</v>
      </c>
      <c r="Z301" s="137">
        <f t="shared" si="66"/>
        <v>432.95839472597868</v>
      </c>
      <c r="AA301" s="69">
        <v>0</v>
      </c>
      <c r="AB301" s="48">
        <f t="shared" si="67"/>
        <v>0</v>
      </c>
      <c r="AC301" s="137">
        <f t="shared" si="68"/>
        <v>0</v>
      </c>
      <c r="AD301" s="70">
        <f t="shared" si="69"/>
        <v>1253265</v>
      </c>
      <c r="AE301" s="71">
        <f t="shared" si="70"/>
        <v>1271.0598377281947</v>
      </c>
      <c r="AF301" s="193">
        <f t="shared" si="71"/>
        <v>1164.9675648839429</v>
      </c>
      <c r="AG301" s="185">
        <f t="shared" si="72"/>
        <v>2.0335307480123316E-2</v>
      </c>
      <c r="AH301" s="180">
        <f t="shared" si="76"/>
        <v>9.0390551749008299E-2</v>
      </c>
      <c r="AI301" s="189">
        <v>986</v>
      </c>
      <c r="AJ301" s="125">
        <v>1075.7938999999999</v>
      </c>
      <c r="AK301" s="149">
        <v>213</v>
      </c>
      <c r="AL301" s="221">
        <v>94</v>
      </c>
      <c r="AM301" s="216">
        <v>16.551724137931036</v>
      </c>
      <c r="AN301" s="213">
        <v>1.7241379310344829</v>
      </c>
      <c r="AO301" s="127">
        <v>12.326000000000001</v>
      </c>
      <c r="AP301" s="133">
        <v>2.7730000000000001</v>
      </c>
      <c r="AQ301" s="224">
        <f t="shared" si="73"/>
        <v>0.96007789678675759</v>
      </c>
      <c r="AR301" s="158">
        <v>1027</v>
      </c>
      <c r="AS301" s="229">
        <f t="shared" si="74"/>
        <v>0.90791896869244937</v>
      </c>
      <c r="AT301" s="230">
        <v>1086</v>
      </c>
      <c r="AU301" s="203">
        <v>17.748478701825558</v>
      </c>
      <c r="AV301" s="204">
        <v>65.61866125760649</v>
      </c>
      <c r="AW301" s="205">
        <v>16.632860040567952</v>
      </c>
      <c r="AX301" s="123">
        <v>4.2168999999999999</v>
      </c>
      <c r="AY301" s="281">
        <v>3.0732860520094563</v>
      </c>
      <c r="AZ301" s="282">
        <v>54.846335697399532</v>
      </c>
      <c r="BA301" s="283">
        <f t="shared" si="75"/>
        <v>42.080378250591018</v>
      </c>
      <c r="BB301" s="234">
        <v>91.709844559585491</v>
      </c>
      <c r="BC301" s="20">
        <v>2016</v>
      </c>
      <c r="BD301" s="263" t="s">
        <v>556</v>
      </c>
      <c r="BE301" s="261" t="s">
        <v>556</v>
      </c>
      <c r="BF301" s="259" t="s">
        <v>556</v>
      </c>
      <c r="BG301" s="256">
        <v>90.163934426229503</v>
      </c>
      <c r="BH301" s="254" t="s">
        <v>557</v>
      </c>
      <c r="BI301" s="249">
        <v>0</v>
      </c>
      <c r="BJ301" s="308" t="s">
        <v>556</v>
      </c>
      <c r="BK301" s="307" t="s">
        <v>556</v>
      </c>
      <c r="BL301" s="319" t="s">
        <v>1728</v>
      </c>
      <c r="BM301" s="320" t="s">
        <v>556</v>
      </c>
      <c r="BN301" s="321" t="s">
        <v>1803</v>
      </c>
      <c r="BO301" s="145" t="s">
        <v>556</v>
      </c>
      <c r="BP301" s="14" t="s">
        <v>556</v>
      </c>
      <c r="BQ301" s="14" t="s">
        <v>556</v>
      </c>
      <c r="BR301" s="56"/>
    </row>
    <row r="302" spans="1:70" s="56" customFormat="1" ht="13.95" customHeight="1" x14ac:dyDescent="0.3">
      <c r="A302" s="56" t="s">
        <v>459</v>
      </c>
      <c r="B302" s="57" t="s">
        <v>462</v>
      </c>
      <c r="C302" s="55" t="s">
        <v>271</v>
      </c>
      <c r="D302" s="58">
        <v>2</v>
      </c>
      <c r="E302" s="59" t="s">
        <v>658</v>
      </c>
      <c r="F302" s="60" t="s">
        <v>454</v>
      </c>
      <c r="G302" s="61" t="s">
        <v>242</v>
      </c>
      <c r="H302" s="61" t="s">
        <v>242</v>
      </c>
      <c r="I302" s="62" t="s">
        <v>242</v>
      </c>
      <c r="J302" s="63" t="s">
        <v>2227</v>
      </c>
      <c r="K302" s="99" t="s">
        <v>1342</v>
      </c>
      <c r="L302" s="130">
        <v>491810628</v>
      </c>
      <c r="M302" s="109" t="s">
        <v>564</v>
      </c>
      <c r="N302" s="12" t="s">
        <v>1341</v>
      </c>
      <c r="O302" s="100"/>
      <c r="P302" s="131">
        <v>725081022</v>
      </c>
      <c r="Q302" s="67"/>
      <c r="R302" s="68"/>
      <c r="S302" s="99"/>
      <c r="T302" s="65"/>
      <c r="U302" s="170">
        <v>0</v>
      </c>
      <c r="V302" s="48">
        <f t="shared" si="63"/>
        <v>0</v>
      </c>
      <c r="W302" s="171">
        <f t="shared" si="64"/>
        <v>0</v>
      </c>
      <c r="X302" s="69">
        <f>58600+136000</f>
        <v>194600</v>
      </c>
      <c r="Y302" s="48">
        <f t="shared" si="65"/>
        <v>282.43831640058056</v>
      </c>
      <c r="Z302" s="137">
        <f t="shared" si="66"/>
        <v>353.19110706173495</v>
      </c>
      <c r="AA302" s="69">
        <v>0</v>
      </c>
      <c r="AB302" s="48">
        <f t="shared" si="67"/>
        <v>0</v>
      </c>
      <c r="AC302" s="137">
        <f t="shared" si="68"/>
        <v>0</v>
      </c>
      <c r="AD302" s="70">
        <f t="shared" si="69"/>
        <v>194600</v>
      </c>
      <c r="AE302" s="71">
        <f t="shared" si="70"/>
        <v>282.43831640058056</v>
      </c>
      <c r="AF302" s="193">
        <f t="shared" si="71"/>
        <v>353.19110706173495</v>
      </c>
      <c r="AG302" s="185">
        <f t="shared" si="72"/>
        <v>4.7889750215331607E-3</v>
      </c>
      <c r="AH302" s="180">
        <f t="shared" si="76"/>
        <v>7.8945233265720078E-3</v>
      </c>
      <c r="AI302" s="189">
        <v>689</v>
      </c>
      <c r="AJ302" s="125">
        <v>550.97649999999999</v>
      </c>
      <c r="AK302" s="149">
        <v>253</v>
      </c>
      <c r="AL302" s="221">
        <v>181</v>
      </c>
      <c r="AM302" s="216">
        <v>89.861751152073737</v>
      </c>
      <c r="AN302" s="213">
        <v>6.5454545454545459</v>
      </c>
      <c r="AO302" s="127">
        <v>8.1270000000000007</v>
      </c>
      <c r="AP302" s="133">
        <v>4.93</v>
      </c>
      <c r="AQ302" s="224">
        <f t="shared" si="73"/>
        <v>1.3224568138195778</v>
      </c>
      <c r="AR302" s="158">
        <v>521</v>
      </c>
      <c r="AS302" s="229">
        <f t="shared" si="74"/>
        <v>0.80490654205607481</v>
      </c>
      <c r="AT302" s="230">
        <v>856</v>
      </c>
      <c r="AU302" s="203">
        <v>20.174165457184326</v>
      </c>
      <c r="AV302" s="204">
        <v>64.005805515239473</v>
      </c>
      <c r="AW302" s="205">
        <v>15.820029027576195</v>
      </c>
      <c r="AX302" s="123">
        <v>2.3256000000000001</v>
      </c>
      <c r="AY302" s="281">
        <v>4.7619047619047619</v>
      </c>
      <c r="AZ302" s="282">
        <v>30.76923076923077</v>
      </c>
      <c r="BA302" s="283">
        <f t="shared" si="75"/>
        <v>64.468864468864467</v>
      </c>
      <c r="BB302" s="234">
        <v>78.102189781021892</v>
      </c>
      <c r="BC302" s="20">
        <v>2000</v>
      </c>
      <c r="BD302" s="263" t="s">
        <v>556</v>
      </c>
      <c r="BE302" s="261" t="s">
        <v>556</v>
      </c>
      <c r="BF302" s="260" t="s">
        <v>557</v>
      </c>
      <c r="BG302" s="256">
        <v>41.521394611727416</v>
      </c>
      <c r="BH302" s="248" t="s">
        <v>556</v>
      </c>
      <c r="BI302" s="249">
        <v>75.787728026533998</v>
      </c>
      <c r="BJ302" s="308" t="s">
        <v>556</v>
      </c>
      <c r="BK302" s="307" t="s">
        <v>750</v>
      </c>
      <c r="BL302" s="319" t="s">
        <v>1728</v>
      </c>
      <c r="BM302" s="320" t="s">
        <v>556</v>
      </c>
      <c r="BN302" s="321" t="s">
        <v>1767</v>
      </c>
      <c r="BO302" s="145" t="s">
        <v>556</v>
      </c>
      <c r="BP302" s="14" t="s">
        <v>556</v>
      </c>
      <c r="BQ302" s="14" t="s">
        <v>557</v>
      </c>
    </row>
    <row r="303" spans="1:70" s="56" customFormat="1" ht="13.95" customHeight="1" x14ac:dyDescent="0.3">
      <c r="A303" s="56" t="s">
        <v>459</v>
      </c>
      <c r="B303" s="57" t="s">
        <v>462</v>
      </c>
      <c r="C303" s="55" t="s">
        <v>180</v>
      </c>
      <c r="D303" s="58">
        <v>1</v>
      </c>
      <c r="E303" s="59"/>
      <c r="F303" s="60" t="s">
        <v>453</v>
      </c>
      <c r="G303" s="61" t="s">
        <v>117</v>
      </c>
      <c r="H303" s="61" t="s">
        <v>117</v>
      </c>
      <c r="I303" s="62" t="s">
        <v>117</v>
      </c>
      <c r="J303" s="63" t="s">
        <v>2228</v>
      </c>
      <c r="K303" s="99" t="s">
        <v>1138</v>
      </c>
      <c r="L303" s="130"/>
      <c r="M303" s="109" t="s">
        <v>537</v>
      </c>
      <c r="N303" s="12" t="s">
        <v>1137</v>
      </c>
      <c r="O303" s="100"/>
      <c r="P303" s="131">
        <v>733394848</v>
      </c>
      <c r="Q303" s="67"/>
      <c r="R303" s="68"/>
      <c r="S303" s="99"/>
      <c r="T303" s="65"/>
      <c r="U303" s="170">
        <v>0</v>
      </c>
      <c r="V303" s="48">
        <f t="shared" si="63"/>
        <v>0</v>
      </c>
      <c r="W303" s="171">
        <f t="shared" si="64"/>
        <v>0</v>
      </c>
      <c r="X303" s="69">
        <v>0</v>
      </c>
      <c r="Y303" s="48">
        <f t="shared" si="65"/>
        <v>0</v>
      </c>
      <c r="Z303" s="137">
        <f t="shared" si="66"/>
        <v>0</v>
      </c>
      <c r="AA303" s="69">
        <v>0</v>
      </c>
      <c r="AB303" s="48">
        <f t="shared" si="67"/>
        <v>0</v>
      </c>
      <c r="AC303" s="137">
        <f t="shared" si="68"/>
        <v>0</v>
      </c>
      <c r="AD303" s="70">
        <f t="shared" si="69"/>
        <v>0</v>
      </c>
      <c r="AE303" s="71">
        <f t="shared" si="70"/>
        <v>0</v>
      </c>
      <c r="AF303" s="193">
        <f t="shared" si="71"/>
        <v>0</v>
      </c>
      <c r="AG303" s="185">
        <f t="shared" si="72"/>
        <v>0</v>
      </c>
      <c r="AH303" s="180">
        <f t="shared" si="76"/>
        <v>0</v>
      </c>
      <c r="AI303" s="189">
        <v>87</v>
      </c>
      <c r="AJ303" s="125">
        <v>218.99959999999999</v>
      </c>
      <c r="AK303" s="149">
        <v>46</v>
      </c>
      <c r="AL303" s="221">
        <v>28</v>
      </c>
      <c r="AM303" s="216">
        <v>100</v>
      </c>
      <c r="AN303" s="213">
        <v>18</v>
      </c>
      <c r="AO303" s="127">
        <v>0.67800000000000005</v>
      </c>
      <c r="AP303" s="133">
        <v>0.115</v>
      </c>
      <c r="AQ303" s="224">
        <f t="shared" si="73"/>
        <v>1.1917808219178083</v>
      </c>
      <c r="AR303" s="158">
        <v>73</v>
      </c>
      <c r="AS303" s="229">
        <f t="shared" si="74"/>
        <v>0.48066298342541436</v>
      </c>
      <c r="AT303" s="230">
        <v>181</v>
      </c>
      <c r="AU303" s="203">
        <v>22.988505747126435</v>
      </c>
      <c r="AV303" s="204">
        <v>56.321839080459768</v>
      </c>
      <c r="AW303" s="205">
        <v>20.689655172413794</v>
      </c>
      <c r="AX303" s="123">
        <v>4.2553000000000001</v>
      </c>
      <c r="AY303" s="281">
        <v>17.948717948717949</v>
      </c>
      <c r="AZ303" s="282">
        <v>23.076923076923077</v>
      </c>
      <c r="BA303" s="283">
        <f t="shared" si="75"/>
        <v>58.974358974358964</v>
      </c>
      <c r="BB303" s="234">
        <v>100</v>
      </c>
      <c r="BC303" s="20">
        <v>2006</v>
      </c>
      <c r="BD303" s="264" t="s">
        <v>557</v>
      </c>
      <c r="BE303" s="261" t="s">
        <v>556</v>
      </c>
      <c r="BF303" s="260" t="s">
        <v>557</v>
      </c>
      <c r="BG303" s="256">
        <v>46.987951807228917</v>
      </c>
      <c r="BH303" s="248" t="s">
        <v>556</v>
      </c>
      <c r="BI303" s="249">
        <v>64.556962025316452</v>
      </c>
      <c r="BJ303" s="309" t="s">
        <v>557</v>
      </c>
      <c r="BK303" s="307" t="s">
        <v>557</v>
      </c>
      <c r="BL303" s="319" t="s">
        <v>1728</v>
      </c>
      <c r="BM303" s="320" t="s">
        <v>556</v>
      </c>
      <c r="BN303" s="321" t="s">
        <v>557</v>
      </c>
      <c r="BO303" s="145" t="s">
        <v>557</v>
      </c>
      <c r="BP303" s="14" t="s">
        <v>557</v>
      </c>
      <c r="BQ303" s="14" t="s">
        <v>557</v>
      </c>
    </row>
    <row r="304" spans="1:70" s="72" customFormat="1" ht="13.95" customHeight="1" x14ac:dyDescent="0.3">
      <c r="A304" s="56" t="s">
        <v>459</v>
      </c>
      <c r="B304" s="57" t="s">
        <v>462</v>
      </c>
      <c r="C304" s="55" t="s">
        <v>357</v>
      </c>
      <c r="D304" s="58">
        <v>1</v>
      </c>
      <c r="E304" s="97" t="s">
        <v>895</v>
      </c>
      <c r="F304" s="60" t="s">
        <v>455</v>
      </c>
      <c r="G304" s="61" t="s">
        <v>304</v>
      </c>
      <c r="H304" s="61" t="s">
        <v>38</v>
      </c>
      <c r="I304" s="62" t="s">
        <v>38</v>
      </c>
      <c r="J304" s="63" t="s">
        <v>2226</v>
      </c>
      <c r="K304" s="99" t="s">
        <v>2229</v>
      </c>
      <c r="L304" s="130">
        <v>494661269</v>
      </c>
      <c r="M304" s="109" t="s">
        <v>564</v>
      </c>
      <c r="N304" s="12" t="s">
        <v>1491</v>
      </c>
      <c r="O304" s="100"/>
      <c r="P304" s="131">
        <v>604532786</v>
      </c>
      <c r="Q304" s="84"/>
      <c r="R304" s="56"/>
      <c r="S304" s="105"/>
      <c r="T304" s="112"/>
      <c r="U304" s="170">
        <v>124000</v>
      </c>
      <c r="V304" s="48">
        <f t="shared" si="63"/>
        <v>471.4828897338403</v>
      </c>
      <c r="W304" s="171">
        <f t="shared" si="64"/>
        <v>356.97146560104926</v>
      </c>
      <c r="X304" s="69">
        <v>99825</v>
      </c>
      <c r="Y304" s="48">
        <f t="shared" si="65"/>
        <v>379.56273764258555</v>
      </c>
      <c r="Z304" s="137">
        <f t="shared" si="66"/>
        <v>287.37642381955442</v>
      </c>
      <c r="AA304" s="69">
        <v>0</v>
      </c>
      <c r="AB304" s="48">
        <f t="shared" si="67"/>
        <v>0</v>
      </c>
      <c r="AC304" s="137">
        <f t="shared" si="68"/>
        <v>0</v>
      </c>
      <c r="AD304" s="70">
        <f t="shared" si="69"/>
        <v>223825</v>
      </c>
      <c r="AE304" s="71">
        <f t="shared" si="70"/>
        <v>851.04562737642584</v>
      </c>
      <c r="AF304" s="193">
        <f t="shared" si="71"/>
        <v>644.34788942060368</v>
      </c>
      <c r="AG304" s="185">
        <f t="shared" si="72"/>
        <v>1.8234215885947046E-2</v>
      </c>
      <c r="AH304" s="180">
        <f t="shared" si="76"/>
        <v>7.0054773082942098E-2</v>
      </c>
      <c r="AI304" s="189">
        <v>263</v>
      </c>
      <c r="AJ304" s="125">
        <v>347.36669999999998</v>
      </c>
      <c r="AK304" s="149">
        <v>109</v>
      </c>
      <c r="AL304" s="221">
        <v>72</v>
      </c>
      <c r="AM304" s="216">
        <v>90.123456790123456</v>
      </c>
      <c r="AN304" s="213">
        <v>0.94339622641509424</v>
      </c>
      <c r="AO304" s="127">
        <v>2.4550000000000001</v>
      </c>
      <c r="AP304" s="133">
        <v>0.63900000000000001</v>
      </c>
      <c r="AQ304" s="224">
        <f t="shared" si="73"/>
        <v>1.2766990291262137</v>
      </c>
      <c r="AR304" s="158">
        <v>206</v>
      </c>
      <c r="AS304" s="229">
        <f t="shared" si="74"/>
        <v>0.91958041958041958</v>
      </c>
      <c r="AT304" s="230">
        <v>286</v>
      </c>
      <c r="AU304" s="203">
        <v>17.870722433460077</v>
      </c>
      <c r="AV304" s="204">
        <v>64.638783269961976</v>
      </c>
      <c r="AW304" s="205">
        <v>17.490494296577946</v>
      </c>
      <c r="AX304" s="123">
        <v>4.2168999999999999</v>
      </c>
      <c r="AY304" s="281">
        <v>8.7378640776699026</v>
      </c>
      <c r="AZ304" s="282">
        <v>36.893203883495147</v>
      </c>
      <c r="BA304" s="283">
        <f t="shared" si="75"/>
        <v>54.368932038834956</v>
      </c>
      <c r="BB304" s="234">
        <v>94</v>
      </c>
      <c r="BC304" s="20">
        <v>2016</v>
      </c>
      <c r="BD304" s="263" t="s">
        <v>556</v>
      </c>
      <c r="BE304" s="261" t="s">
        <v>556</v>
      </c>
      <c r="BF304" s="259" t="s">
        <v>556</v>
      </c>
      <c r="BG304" s="256">
        <v>41.201716738197426</v>
      </c>
      <c r="BH304" s="248" t="s">
        <v>556</v>
      </c>
      <c r="BI304" s="249">
        <v>15.765765765765765</v>
      </c>
      <c r="BJ304" s="308" t="s">
        <v>556</v>
      </c>
      <c r="BK304" s="307" t="s">
        <v>557</v>
      </c>
      <c r="BL304" s="319" t="s">
        <v>1728</v>
      </c>
      <c r="BM304" s="320" t="s">
        <v>556</v>
      </c>
      <c r="BN304" s="321" t="s">
        <v>557</v>
      </c>
      <c r="BO304" s="145" t="s">
        <v>557</v>
      </c>
      <c r="BP304" s="14" t="s">
        <v>556</v>
      </c>
      <c r="BQ304" s="14" t="s">
        <v>557</v>
      </c>
      <c r="BR304" s="56"/>
    </row>
    <row r="305" spans="1:70" s="72" customFormat="1" ht="13.95" customHeight="1" x14ac:dyDescent="0.3">
      <c r="A305" s="56" t="s">
        <v>459</v>
      </c>
      <c r="B305" s="57" t="s">
        <v>462</v>
      </c>
      <c r="C305" s="55" t="s">
        <v>181</v>
      </c>
      <c r="D305" s="58">
        <v>1</v>
      </c>
      <c r="E305" s="59"/>
      <c r="F305" s="60" t="s">
        <v>453</v>
      </c>
      <c r="G305" s="61" t="s">
        <v>117</v>
      </c>
      <c r="H305" s="61" t="s">
        <v>117</v>
      </c>
      <c r="I305" s="62" t="s">
        <v>122</v>
      </c>
      <c r="J305" s="63" t="s">
        <v>2231</v>
      </c>
      <c r="K305" s="99" t="s">
        <v>2230</v>
      </c>
      <c r="L305" s="130">
        <v>493693367</v>
      </c>
      <c r="M305" s="109" t="s">
        <v>564</v>
      </c>
      <c r="N305" s="12" t="s">
        <v>1139</v>
      </c>
      <c r="O305" s="100" t="s">
        <v>1140</v>
      </c>
      <c r="P305" s="131">
        <v>739292722</v>
      </c>
      <c r="Q305" s="67"/>
      <c r="R305" s="68"/>
      <c r="S305" s="99"/>
      <c r="T305" s="65"/>
      <c r="U305" s="170">
        <v>600000</v>
      </c>
      <c r="V305" s="48">
        <f t="shared" si="63"/>
        <v>1916.9329073482429</v>
      </c>
      <c r="W305" s="171">
        <f t="shared" si="64"/>
        <v>670.53048684201258</v>
      </c>
      <c r="X305" s="69">
        <v>52000</v>
      </c>
      <c r="Y305" s="48">
        <f t="shared" si="65"/>
        <v>166.13418530351439</v>
      </c>
      <c r="Z305" s="137">
        <f t="shared" si="66"/>
        <v>58.112642192974427</v>
      </c>
      <c r="AA305" s="69">
        <v>0</v>
      </c>
      <c r="AB305" s="48">
        <f t="shared" si="67"/>
        <v>0</v>
      </c>
      <c r="AC305" s="137">
        <f t="shared" si="68"/>
        <v>0</v>
      </c>
      <c r="AD305" s="70">
        <f t="shared" si="69"/>
        <v>652000</v>
      </c>
      <c r="AE305" s="71">
        <f t="shared" si="70"/>
        <v>2083.0670926517573</v>
      </c>
      <c r="AF305" s="193">
        <f t="shared" si="71"/>
        <v>728.64312903498706</v>
      </c>
      <c r="AG305" s="185">
        <f t="shared" si="72"/>
        <v>5.9299681673487953E-2</v>
      </c>
      <c r="AH305" s="180">
        <f t="shared" si="76"/>
        <v>1.650632911392405</v>
      </c>
      <c r="AI305" s="189">
        <v>313</v>
      </c>
      <c r="AJ305" s="125">
        <v>894.81389999999999</v>
      </c>
      <c r="AK305" s="149">
        <v>206</v>
      </c>
      <c r="AL305" s="221">
        <v>101</v>
      </c>
      <c r="AM305" s="216">
        <v>94.594594594594597</v>
      </c>
      <c r="AN305" s="213">
        <v>17.741935483870968</v>
      </c>
      <c r="AO305" s="127">
        <v>2.1989999999999998</v>
      </c>
      <c r="AP305" s="133">
        <v>7.9000000000000001E-2</v>
      </c>
      <c r="AQ305" s="224">
        <f t="shared" si="73"/>
        <v>1.0096774193548388</v>
      </c>
      <c r="AR305" s="158">
        <v>310</v>
      </c>
      <c r="AS305" s="229">
        <f t="shared" si="74"/>
        <v>0.53687821612349917</v>
      </c>
      <c r="AT305" s="230">
        <v>583</v>
      </c>
      <c r="AU305" s="203">
        <v>16.613418530351439</v>
      </c>
      <c r="AV305" s="204">
        <v>67.731629392971243</v>
      </c>
      <c r="AW305" s="205">
        <v>15.654952076677317</v>
      </c>
      <c r="AX305" s="123">
        <v>2.8037000000000001</v>
      </c>
      <c r="AY305" s="281">
        <v>14.893617021276595</v>
      </c>
      <c r="AZ305" s="282">
        <v>33.333333333333329</v>
      </c>
      <c r="BA305" s="283">
        <f t="shared" si="75"/>
        <v>51.773049645390074</v>
      </c>
      <c r="BB305" s="234">
        <v>65.217391304347828</v>
      </c>
      <c r="BC305" s="20">
        <v>1997</v>
      </c>
      <c r="BD305" s="263" t="s">
        <v>556</v>
      </c>
      <c r="BE305" s="261" t="s">
        <v>556</v>
      </c>
      <c r="BF305" s="259" t="s">
        <v>556</v>
      </c>
      <c r="BG305" s="256">
        <v>74.358974358974365</v>
      </c>
      <c r="BH305" s="248" t="s">
        <v>556</v>
      </c>
      <c r="BI305" s="249">
        <v>46.026490066225165</v>
      </c>
      <c r="BJ305" s="308" t="s">
        <v>556</v>
      </c>
      <c r="BK305" s="307" t="s">
        <v>557</v>
      </c>
      <c r="BL305" s="319" t="s">
        <v>1728</v>
      </c>
      <c r="BM305" s="320" t="s">
        <v>557</v>
      </c>
      <c r="BN305" s="321" t="s">
        <v>557</v>
      </c>
      <c r="BO305" s="145" t="s">
        <v>557</v>
      </c>
      <c r="BP305" s="14" t="s">
        <v>557</v>
      </c>
      <c r="BQ305" s="14" t="s">
        <v>557</v>
      </c>
      <c r="BR305" s="56"/>
    </row>
    <row r="306" spans="1:70" s="72" customFormat="1" ht="13.95" customHeight="1" x14ac:dyDescent="0.3">
      <c r="A306" s="56" t="s">
        <v>459</v>
      </c>
      <c r="B306" s="57" t="s">
        <v>462</v>
      </c>
      <c r="C306" s="55" t="s">
        <v>182</v>
      </c>
      <c r="D306" s="58">
        <v>2</v>
      </c>
      <c r="E306" s="59" t="s">
        <v>619</v>
      </c>
      <c r="F306" s="60" t="s">
        <v>453</v>
      </c>
      <c r="G306" s="61" t="s">
        <v>113</v>
      </c>
      <c r="H306" s="61" t="s">
        <v>114</v>
      </c>
      <c r="I306" s="62" t="s">
        <v>115</v>
      </c>
      <c r="J306" s="63" t="s">
        <v>2232</v>
      </c>
      <c r="K306" s="99" t="s">
        <v>1142</v>
      </c>
      <c r="L306" s="130">
        <v>724181174</v>
      </c>
      <c r="M306" s="109" t="s">
        <v>537</v>
      </c>
      <c r="N306" s="12" t="s">
        <v>1141</v>
      </c>
      <c r="O306" s="100"/>
      <c r="P306" s="131">
        <v>606618712</v>
      </c>
      <c r="Q306" s="67"/>
      <c r="R306" s="68"/>
      <c r="S306" s="99"/>
      <c r="T306" s="65"/>
      <c r="U306" s="170">
        <v>0</v>
      </c>
      <c r="V306" s="48">
        <f t="shared" si="63"/>
        <v>0</v>
      </c>
      <c r="W306" s="171">
        <f t="shared" si="64"/>
        <v>0</v>
      </c>
      <c r="X306" s="69">
        <v>0</v>
      </c>
      <c r="Y306" s="48">
        <f t="shared" si="65"/>
        <v>0</v>
      </c>
      <c r="Z306" s="137">
        <f t="shared" si="66"/>
        <v>0</v>
      </c>
      <c r="AA306" s="69">
        <v>0</v>
      </c>
      <c r="AB306" s="48">
        <f t="shared" si="67"/>
        <v>0</v>
      </c>
      <c r="AC306" s="137">
        <f t="shared" si="68"/>
        <v>0</v>
      </c>
      <c r="AD306" s="70">
        <f t="shared" si="69"/>
        <v>0</v>
      </c>
      <c r="AE306" s="71">
        <f t="shared" si="70"/>
        <v>0</v>
      </c>
      <c r="AF306" s="193">
        <f t="shared" si="71"/>
        <v>0</v>
      </c>
      <c r="AG306" s="185">
        <f t="shared" si="72"/>
        <v>0</v>
      </c>
      <c r="AH306" s="180">
        <f t="shared" si="76"/>
        <v>0</v>
      </c>
      <c r="AI306" s="189">
        <v>114</v>
      </c>
      <c r="AJ306" s="125">
        <v>496.15210000000002</v>
      </c>
      <c r="AK306" s="149">
        <v>103</v>
      </c>
      <c r="AL306" s="221">
        <v>39</v>
      </c>
      <c r="AM306" s="216">
        <v>97.435897435897431</v>
      </c>
      <c r="AN306" s="213">
        <v>45.918367346938773</v>
      </c>
      <c r="AO306" s="127">
        <v>1.5289999999999999</v>
      </c>
      <c r="AP306" s="133">
        <v>0.30499999999999999</v>
      </c>
      <c r="AQ306" s="224">
        <f t="shared" si="73"/>
        <v>1.3103448275862069</v>
      </c>
      <c r="AR306" s="158">
        <v>87</v>
      </c>
      <c r="AS306" s="229">
        <f t="shared" si="74"/>
        <v>0.29842931937172773</v>
      </c>
      <c r="AT306" s="230">
        <v>382</v>
      </c>
      <c r="AU306" s="203">
        <v>22.807017543859647</v>
      </c>
      <c r="AV306" s="204">
        <v>61.403508771929829</v>
      </c>
      <c r="AW306" s="205">
        <v>15.789473684210526</v>
      </c>
      <c r="AX306" s="123">
        <v>7.3529</v>
      </c>
      <c r="AY306" s="281">
        <v>4.8780487804878048</v>
      </c>
      <c r="AZ306" s="282">
        <v>36.585365853658537</v>
      </c>
      <c r="BA306" s="283">
        <f t="shared" si="75"/>
        <v>58.536585365853661</v>
      </c>
      <c r="BB306" s="234">
        <v>95</v>
      </c>
      <c r="BC306" s="120" t="s">
        <v>1811</v>
      </c>
      <c r="BD306" s="264" t="s">
        <v>557</v>
      </c>
      <c r="BE306" s="261" t="s">
        <v>556</v>
      </c>
      <c r="BF306" s="260" t="s">
        <v>557</v>
      </c>
      <c r="BG306" s="256">
        <v>0</v>
      </c>
      <c r="BH306" s="254" t="s">
        <v>557</v>
      </c>
      <c r="BI306" s="249">
        <v>0</v>
      </c>
      <c r="BJ306" s="309" t="s">
        <v>557</v>
      </c>
      <c r="BK306" s="307" t="s">
        <v>557</v>
      </c>
      <c r="BL306" s="319" t="s">
        <v>557</v>
      </c>
      <c r="BM306" s="320" t="s">
        <v>556</v>
      </c>
      <c r="BN306" s="321" t="s">
        <v>557</v>
      </c>
      <c r="BO306" s="145" t="s">
        <v>557</v>
      </c>
      <c r="BP306" s="14" t="s">
        <v>557</v>
      </c>
      <c r="BQ306" s="14" t="s">
        <v>556</v>
      </c>
      <c r="BR306" s="56"/>
    </row>
    <row r="307" spans="1:70" s="72" customFormat="1" ht="13.95" customHeight="1" x14ac:dyDescent="0.3">
      <c r="A307" s="56" t="s">
        <v>461</v>
      </c>
      <c r="B307" s="77" t="s">
        <v>464</v>
      </c>
      <c r="C307" s="74" t="s">
        <v>358</v>
      </c>
      <c r="D307" s="58">
        <v>2</v>
      </c>
      <c r="E307" s="59" t="s">
        <v>1221</v>
      </c>
      <c r="F307" s="60" t="s">
        <v>455</v>
      </c>
      <c r="G307" s="75" t="s">
        <v>528</v>
      </c>
      <c r="H307" s="75" t="s">
        <v>527</v>
      </c>
      <c r="I307" s="76" t="s">
        <v>527</v>
      </c>
      <c r="J307" s="63" t="s">
        <v>1241</v>
      </c>
      <c r="K307" s="64" t="s">
        <v>1242</v>
      </c>
      <c r="L307" s="130">
        <v>494595104</v>
      </c>
      <c r="M307" s="109" t="s">
        <v>564</v>
      </c>
      <c r="N307" s="12" t="s">
        <v>1243</v>
      </c>
      <c r="O307" s="100" t="s">
        <v>1244</v>
      </c>
      <c r="P307" s="131" t="s">
        <v>2233</v>
      </c>
      <c r="Q307" s="85" t="s">
        <v>1245</v>
      </c>
      <c r="R307" s="68" t="s">
        <v>1246</v>
      </c>
      <c r="S307" s="99" t="s">
        <v>1247</v>
      </c>
      <c r="T307" s="131">
        <v>494379029</v>
      </c>
      <c r="U307" s="172">
        <v>0</v>
      </c>
      <c r="V307" s="135">
        <f t="shared" si="63"/>
        <v>0</v>
      </c>
      <c r="W307" s="173">
        <f t="shared" si="64"/>
        <v>0</v>
      </c>
      <c r="X307" s="69">
        <v>2277980</v>
      </c>
      <c r="Y307" s="48">
        <f t="shared" si="65"/>
        <v>1104.2074648570044</v>
      </c>
      <c r="Z307" s="137">
        <f t="shared" si="66"/>
        <v>566.69906266704311</v>
      </c>
      <c r="AA307" s="69">
        <v>750000</v>
      </c>
      <c r="AB307" s="48">
        <f t="shared" si="67"/>
        <v>363.54823073194376</v>
      </c>
      <c r="AC307" s="137">
        <f t="shared" si="68"/>
        <v>186.57946821318987</v>
      </c>
      <c r="AD307" s="70">
        <f t="shared" si="69"/>
        <v>3027980</v>
      </c>
      <c r="AE307" s="71">
        <f t="shared" si="70"/>
        <v>1467.7556955889481</v>
      </c>
      <c r="AF307" s="193">
        <f t="shared" si="71"/>
        <v>753.27853088023289</v>
      </c>
      <c r="AG307" s="185">
        <f t="shared" si="72"/>
        <v>1.2507404118218057E-2</v>
      </c>
      <c r="AH307" s="180">
        <f t="shared" si="76"/>
        <v>3.0965690034258829E-2</v>
      </c>
      <c r="AI307" s="189">
        <v>2063</v>
      </c>
      <c r="AJ307" s="126">
        <v>4019.7348999999999</v>
      </c>
      <c r="AK307" s="150">
        <v>739</v>
      </c>
      <c r="AL307" s="221">
        <v>341</v>
      </c>
      <c r="AM307" s="216">
        <v>32.28803716608595</v>
      </c>
      <c r="AN307" s="213">
        <v>4.5135406218655962</v>
      </c>
      <c r="AO307" s="128">
        <v>48.418999999999997</v>
      </c>
      <c r="AP307" s="134">
        <v>19.556999999999999</v>
      </c>
      <c r="AQ307" s="224">
        <f t="shared" si="73"/>
        <v>1.05040733197556</v>
      </c>
      <c r="AR307" s="158">
        <v>1964</v>
      </c>
      <c r="AS307" s="229">
        <f t="shared" si="74"/>
        <v>0.68130779392338181</v>
      </c>
      <c r="AT307" s="230">
        <v>3028</v>
      </c>
      <c r="AU307" s="203">
        <v>14.251090644692196</v>
      </c>
      <c r="AV307" s="204">
        <v>69.316529326223943</v>
      </c>
      <c r="AW307" s="205">
        <v>16.432380029083859</v>
      </c>
      <c r="AX307" s="123">
        <v>3.6276999999999999</v>
      </c>
      <c r="AY307" s="281">
        <v>4.2035398230088497</v>
      </c>
      <c r="AZ307" s="282">
        <v>41.924778761061951</v>
      </c>
      <c r="BA307" s="283">
        <f t="shared" si="75"/>
        <v>53.871681415929196</v>
      </c>
      <c r="BB307" s="234">
        <v>68.235294117647058</v>
      </c>
      <c r="BC307" s="20">
        <v>2014</v>
      </c>
      <c r="BD307" s="263" t="s">
        <v>556</v>
      </c>
      <c r="BE307" s="261" t="s">
        <v>556</v>
      </c>
      <c r="BF307" s="259" t="s">
        <v>556</v>
      </c>
      <c r="BG307" s="256">
        <v>83.020730503455084</v>
      </c>
      <c r="BH307" s="254" t="s">
        <v>557</v>
      </c>
      <c r="BI307" s="249">
        <v>0</v>
      </c>
      <c r="BJ307" s="308" t="s">
        <v>556</v>
      </c>
      <c r="BK307" s="307" t="s">
        <v>556</v>
      </c>
      <c r="BL307" s="319" t="s">
        <v>1728</v>
      </c>
      <c r="BM307" s="320" t="s">
        <v>556</v>
      </c>
      <c r="BN307" s="321" t="s">
        <v>2234</v>
      </c>
      <c r="BO307" s="145" t="s">
        <v>556</v>
      </c>
      <c r="BP307" s="14">
        <v>4</v>
      </c>
      <c r="BQ307" s="14" t="s">
        <v>556</v>
      </c>
      <c r="BR307" s="56"/>
    </row>
    <row r="308" spans="1:70" s="56" customFormat="1" ht="13.95" customHeight="1" x14ac:dyDescent="0.3">
      <c r="A308" s="56" t="s">
        <v>459</v>
      </c>
      <c r="B308" s="57" t="s">
        <v>462</v>
      </c>
      <c r="C308" s="55" t="s">
        <v>85</v>
      </c>
      <c r="D308" s="58">
        <v>1</v>
      </c>
      <c r="E308" s="59"/>
      <c r="F308" s="60" t="s">
        <v>452</v>
      </c>
      <c r="G308" s="61" t="s">
        <v>11</v>
      </c>
      <c r="H308" s="61" t="s">
        <v>11</v>
      </c>
      <c r="I308" s="62" t="s">
        <v>11</v>
      </c>
      <c r="J308" s="63" t="s">
        <v>2235</v>
      </c>
      <c r="K308" s="99" t="s">
        <v>945</v>
      </c>
      <c r="L308" s="130">
        <v>495451322</v>
      </c>
      <c r="M308" s="109" t="s">
        <v>564</v>
      </c>
      <c r="N308" s="12" t="s">
        <v>946</v>
      </c>
      <c r="O308" s="100"/>
      <c r="P308" s="131">
        <v>602108486</v>
      </c>
      <c r="Q308" s="67"/>
      <c r="R308" s="68"/>
      <c r="S308" s="99"/>
      <c r="T308" s="65"/>
      <c r="U308" s="170">
        <v>400000</v>
      </c>
      <c r="V308" s="48">
        <f t="shared" si="63"/>
        <v>613.49693251533745</v>
      </c>
      <c r="W308" s="171">
        <f t="shared" si="64"/>
        <v>360.90565303667375</v>
      </c>
      <c r="X308" s="69">
        <v>0</v>
      </c>
      <c r="Y308" s="48">
        <f t="shared" si="65"/>
        <v>0</v>
      </c>
      <c r="Z308" s="137">
        <f t="shared" si="66"/>
        <v>0</v>
      </c>
      <c r="AA308" s="69">
        <v>0</v>
      </c>
      <c r="AB308" s="48">
        <f t="shared" si="67"/>
        <v>0</v>
      </c>
      <c r="AC308" s="137">
        <f t="shared" si="68"/>
        <v>0</v>
      </c>
      <c r="AD308" s="70">
        <f t="shared" si="69"/>
        <v>400000</v>
      </c>
      <c r="AE308" s="71">
        <f t="shared" si="70"/>
        <v>613.49693251533745</v>
      </c>
      <c r="AF308" s="193">
        <f t="shared" si="71"/>
        <v>360.90565303667375</v>
      </c>
      <c r="AG308" s="185">
        <f t="shared" si="72"/>
        <v>1.210104371502042E-2</v>
      </c>
      <c r="AH308" s="180">
        <f t="shared" si="76"/>
        <v>8.7623220153340634E-2</v>
      </c>
      <c r="AI308" s="189">
        <v>652</v>
      </c>
      <c r="AJ308" s="125">
        <v>1108.3228999999999</v>
      </c>
      <c r="AK308" s="149">
        <v>231</v>
      </c>
      <c r="AL308" s="221">
        <v>172</v>
      </c>
      <c r="AM308" s="216">
        <v>93.63636363636364</v>
      </c>
      <c r="AN308" s="213">
        <v>9.9236641221374047</v>
      </c>
      <c r="AO308" s="127">
        <v>6.6109999999999998</v>
      </c>
      <c r="AP308" s="133">
        <v>0.91300000000000003</v>
      </c>
      <c r="AQ308" s="224">
        <f t="shared" si="73"/>
        <v>1.3279022403258656</v>
      </c>
      <c r="AR308" s="158">
        <v>491</v>
      </c>
      <c r="AS308" s="229">
        <f t="shared" si="74"/>
        <v>0.75638051044083532</v>
      </c>
      <c r="AT308" s="230">
        <v>862</v>
      </c>
      <c r="AU308" s="203">
        <v>17.484662576687114</v>
      </c>
      <c r="AV308" s="204">
        <v>67.024539877300612</v>
      </c>
      <c r="AW308" s="205">
        <v>15.490797546012269</v>
      </c>
      <c r="AX308" s="123">
        <v>5.2272999999999996</v>
      </c>
      <c r="AY308" s="281">
        <v>10.839160839160838</v>
      </c>
      <c r="AZ308" s="282">
        <v>29.72027972027972</v>
      </c>
      <c r="BA308" s="283">
        <f t="shared" si="75"/>
        <v>59.44055944055944</v>
      </c>
      <c r="BB308" s="234">
        <v>76.612903225806448</v>
      </c>
      <c r="BC308" s="20">
        <v>2006</v>
      </c>
      <c r="BD308" s="263" t="s">
        <v>556</v>
      </c>
      <c r="BE308" s="261" t="s">
        <v>556</v>
      </c>
      <c r="BF308" s="259" t="s">
        <v>556</v>
      </c>
      <c r="BG308" s="256">
        <v>0</v>
      </c>
      <c r="BH308" s="248" t="s">
        <v>556</v>
      </c>
      <c r="BI308" s="249">
        <v>30.236486486486484</v>
      </c>
      <c r="BJ308" s="308" t="s">
        <v>556</v>
      </c>
      <c r="BK308" s="307" t="s">
        <v>557</v>
      </c>
      <c r="BL308" s="319" t="s">
        <v>1728</v>
      </c>
      <c r="BM308" s="320" t="s">
        <v>556</v>
      </c>
      <c r="BN308" s="321" t="s">
        <v>1838</v>
      </c>
      <c r="BO308" s="145" t="s">
        <v>557</v>
      </c>
      <c r="BP308" s="14" t="s">
        <v>556</v>
      </c>
      <c r="BQ308" s="14" t="s">
        <v>557</v>
      </c>
    </row>
    <row r="309" spans="1:70" s="72" customFormat="1" ht="13.95" customHeight="1" x14ac:dyDescent="0.3">
      <c r="A309" s="56" t="s">
        <v>459</v>
      </c>
      <c r="B309" s="57" t="s">
        <v>462</v>
      </c>
      <c r="C309" s="55" t="s">
        <v>272</v>
      </c>
      <c r="D309" s="58">
        <v>2</v>
      </c>
      <c r="E309" s="59" t="s">
        <v>659</v>
      </c>
      <c r="F309" s="60" t="s">
        <v>454</v>
      </c>
      <c r="G309" s="61" t="s">
        <v>242</v>
      </c>
      <c r="H309" s="61" t="s">
        <v>242</v>
      </c>
      <c r="I309" s="62" t="s">
        <v>242</v>
      </c>
      <c r="J309" s="63" t="s">
        <v>2238</v>
      </c>
      <c r="K309" s="99" t="s">
        <v>1344</v>
      </c>
      <c r="L309" s="130">
        <v>491816771</v>
      </c>
      <c r="M309" s="109" t="s">
        <v>564</v>
      </c>
      <c r="N309" s="12" t="s">
        <v>1343</v>
      </c>
      <c r="O309" s="100"/>
      <c r="P309" s="131">
        <v>602602277</v>
      </c>
      <c r="Q309" s="67"/>
      <c r="R309" s="68"/>
      <c r="S309" s="99"/>
      <c r="T309" s="65"/>
      <c r="U309" s="170">
        <v>0</v>
      </c>
      <c r="V309" s="48">
        <f t="shared" si="63"/>
        <v>0</v>
      </c>
      <c r="W309" s="171">
        <f t="shared" si="64"/>
        <v>0</v>
      </c>
      <c r="X309" s="69">
        <v>56600</v>
      </c>
      <c r="Y309" s="48">
        <f t="shared" si="65"/>
        <v>147.78067885117494</v>
      </c>
      <c r="Z309" s="137">
        <f t="shared" si="66"/>
        <v>104.48454690165475</v>
      </c>
      <c r="AA309" s="69">
        <v>0</v>
      </c>
      <c r="AB309" s="48">
        <f t="shared" si="67"/>
        <v>0</v>
      </c>
      <c r="AC309" s="137">
        <f t="shared" si="68"/>
        <v>0</v>
      </c>
      <c r="AD309" s="70">
        <f t="shared" si="69"/>
        <v>56600</v>
      </c>
      <c r="AE309" s="71">
        <f t="shared" si="70"/>
        <v>147.78067885117494</v>
      </c>
      <c r="AF309" s="193">
        <f t="shared" si="71"/>
        <v>104.48454690165475</v>
      </c>
      <c r="AG309" s="185">
        <f t="shared" si="72"/>
        <v>3.1770979511647488E-3</v>
      </c>
      <c r="AH309" s="180">
        <f t="shared" si="76"/>
        <v>1.5921237693389594E-2</v>
      </c>
      <c r="AI309" s="189">
        <v>383</v>
      </c>
      <c r="AJ309" s="125">
        <v>541.70690000000002</v>
      </c>
      <c r="AK309" s="149">
        <v>150</v>
      </c>
      <c r="AL309" s="221">
        <v>108</v>
      </c>
      <c r="AM309" s="216">
        <v>93.055555555555557</v>
      </c>
      <c r="AN309" s="213">
        <v>7.6502732240437163</v>
      </c>
      <c r="AO309" s="127">
        <v>3.5630000000000002</v>
      </c>
      <c r="AP309" s="133">
        <v>0.71099999999999997</v>
      </c>
      <c r="AQ309" s="224">
        <f t="shared" si="73"/>
        <v>1.0132275132275133</v>
      </c>
      <c r="AR309" s="158">
        <v>378</v>
      </c>
      <c r="AS309" s="229">
        <f t="shared" si="74"/>
        <v>0.63939899833055092</v>
      </c>
      <c r="AT309" s="230">
        <v>599</v>
      </c>
      <c r="AU309" s="203">
        <v>13.315926892950392</v>
      </c>
      <c r="AV309" s="204">
        <v>67.101827676240219</v>
      </c>
      <c r="AW309" s="205">
        <v>19.582245430809401</v>
      </c>
      <c r="AX309" s="123">
        <v>4.2308000000000003</v>
      </c>
      <c r="AY309" s="281">
        <v>5.4878048780487809</v>
      </c>
      <c r="AZ309" s="282">
        <v>39.024390243902438</v>
      </c>
      <c r="BA309" s="283">
        <f t="shared" si="75"/>
        <v>55.487804878048784</v>
      </c>
      <c r="BB309" s="234">
        <v>81.578947368421055</v>
      </c>
      <c r="BC309" s="20">
        <v>2000</v>
      </c>
      <c r="BD309" s="263" t="s">
        <v>556</v>
      </c>
      <c r="BE309" s="261" t="s">
        <v>556</v>
      </c>
      <c r="BF309" s="259" t="s">
        <v>556</v>
      </c>
      <c r="BG309" s="256">
        <v>25.336927223719673</v>
      </c>
      <c r="BH309" s="248" t="s">
        <v>556</v>
      </c>
      <c r="BI309" s="249">
        <v>69.662921348314612</v>
      </c>
      <c r="BJ309" s="309" t="s">
        <v>557</v>
      </c>
      <c r="BK309" s="307" t="s">
        <v>557</v>
      </c>
      <c r="BL309" s="319" t="s">
        <v>1728</v>
      </c>
      <c r="BM309" s="320" t="s">
        <v>556</v>
      </c>
      <c r="BN309" s="321" t="s">
        <v>1803</v>
      </c>
      <c r="BO309" s="145" t="s">
        <v>557</v>
      </c>
      <c r="BP309" s="14" t="s">
        <v>556</v>
      </c>
      <c r="BQ309" s="14" t="s">
        <v>557</v>
      </c>
      <c r="BR309" s="56"/>
    </row>
    <row r="310" spans="1:70" s="72" customFormat="1" ht="13.95" customHeight="1" x14ac:dyDescent="0.3">
      <c r="A310" s="56" t="s">
        <v>459</v>
      </c>
      <c r="B310" s="77" t="s">
        <v>464</v>
      </c>
      <c r="C310" s="74" t="s">
        <v>380</v>
      </c>
      <c r="D310" s="58">
        <v>1</v>
      </c>
      <c r="E310" s="59"/>
      <c r="F310" s="60" t="s">
        <v>456</v>
      </c>
      <c r="G310" s="75" t="s">
        <v>378</v>
      </c>
      <c r="H310" s="75" t="s">
        <v>379</v>
      </c>
      <c r="I310" s="76" t="s">
        <v>533</v>
      </c>
      <c r="J310" s="63" t="s">
        <v>2237</v>
      </c>
      <c r="K310" s="101" t="s">
        <v>2236</v>
      </c>
      <c r="L310" s="130">
        <v>499888140</v>
      </c>
      <c r="M310" s="109" t="s">
        <v>564</v>
      </c>
      <c r="N310" s="12" t="s">
        <v>1633</v>
      </c>
      <c r="O310" s="100" t="s">
        <v>1634</v>
      </c>
      <c r="P310" s="131">
        <v>724180060</v>
      </c>
      <c r="Q310" s="84"/>
      <c r="R310" s="56"/>
      <c r="S310" s="105"/>
      <c r="T310" s="112"/>
      <c r="U310" s="172">
        <v>0</v>
      </c>
      <c r="V310" s="135">
        <f t="shared" si="63"/>
        <v>0</v>
      </c>
      <c r="W310" s="173">
        <f t="shared" si="64"/>
        <v>0</v>
      </c>
      <c r="X310" s="69">
        <f>276336+26000</f>
        <v>302336</v>
      </c>
      <c r="Y310" s="48">
        <f t="shared" si="65"/>
        <v>101.52316991269308</v>
      </c>
      <c r="Z310" s="137">
        <f t="shared" si="66"/>
        <v>217.72134323906297</v>
      </c>
      <c r="AA310" s="69">
        <v>0</v>
      </c>
      <c r="AB310" s="48">
        <f t="shared" si="67"/>
        <v>0</v>
      </c>
      <c r="AC310" s="137">
        <f t="shared" si="68"/>
        <v>0</v>
      </c>
      <c r="AD310" s="70">
        <f t="shared" si="69"/>
        <v>302336</v>
      </c>
      <c r="AE310" s="71">
        <f t="shared" si="70"/>
        <v>101.52316991269308</v>
      </c>
      <c r="AF310" s="193">
        <f t="shared" si="71"/>
        <v>217.72134323906297</v>
      </c>
      <c r="AG310" s="185">
        <f t="shared" si="72"/>
        <v>1.6476525245919509E-3</v>
      </c>
      <c r="AH310" s="180">
        <f t="shared" si="76"/>
        <v>8.8337764791818832E-3</v>
      </c>
      <c r="AI310" s="189">
        <v>2978</v>
      </c>
      <c r="AJ310" s="126">
        <v>1388.6374000000001</v>
      </c>
      <c r="AK310" s="150">
        <v>955</v>
      </c>
      <c r="AL310" s="221">
        <v>679</v>
      </c>
      <c r="AM310" s="216">
        <v>66.609589041095902</v>
      </c>
      <c r="AN310" s="213">
        <v>3.3499643620812543</v>
      </c>
      <c r="AO310" s="128">
        <v>36.698999999999998</v>
      </c>
      <c r="AP310" s="134">
        <v>6.8449999999999998</v>
      </c>
      <c r="AQ310" s="224">
        <f t="shared" si="73"/>
        <v>0.96814044213263983</v>
      </c>
      <c r="AR310" s="158">
        <v>3076</v>
      </c>
      <c r="AS310" s="229">
        <f t="shared" si="74"/>
        <v>1.1246223564954683</v>
      </c>
      <c r="AT310" s="230">
        <v>2648</v>
      </c>
      <c r="AU310" s="203">
        <v>14.002686366689055</v>
      </c>
      <c r="AV310" s="204">
        <v>64.640698455339148</v>
      </c>
      <c r="AW310" s="205">
        <v>21.356615177971793</v>
      </c>
      <c r="AX310" s="123">
        <v>4.0163000000000002</v>
      </c>
      <c r="AY310" s="281">
        <v>1.9245573518090839</v>
      </c>
      <c r="AZ310" s="282">
        <v>45.727482678983833</v>
      </c>
      <c r="BA310" s="283">
        <f t="shared" si="75"/>
        <v>52.347959969207082</v>
      </c>
      <c r="BB310" s="234">
        <v>71.906841339155747</v>
      </c>
      <c r="BC310" s="20">
        <v>2005</v>
      </c>
      <c r="BD310" s="263" t="s">
        <v>556</v>
      </c>
      <c r="BE310" s="261" t="s">
        <v>556</v>
      </c>
      <c r="BF310" s="259" t="s">
        <v>556</v>
      </c>
      <c r="BG310" s="256">
        <v>72.921034241788959</v>
      </c>
      <c r="BH310" s="248" t="s">
        <v>556</v>
      </c>
      <c r="BI310" s="249">
        <v>60.79545454545454</v>
      </c>
      <c r="BJ310" s="308" t="s">
        <v>556</v>
      </c>
      <c r="BK310" s="307" t="s">
        <v>556</v>
      </c>
      <c r="BL310" s="319" t="s">
        <v>1728</v>
      </c>
      <c r="BM310" s="320" t="s">
        <v>556</v>
      </c>
      <c r="BN310" s="321" t="s">
        <v>1847</v>
      </c>
      <c r="BO310" s="145" t="s">
        <v>556</v>
      </c>
      <c r="BP310" s="14" t="s">
        <v>556</v>
      </c>
      <c r="BQ310" s="14" t="s">
        <v>556</v>
      </c>
    </row>
    <row r="311" spans="1:70" s="56" customFormat="1" ht="13.95" customHeight="1" x14ac:dyDescent="0.3">
      <c r="A311" s="56" t="s">
        <v>459</v>
      </c>
      <c r="B311" s="57" t="s">
        <v>462</v>
      </c>
      <c r="C311" s="55" t="s">
        <v>392</v>
      </c>
      <c r="D311" s="58">
        <v>3</v>
      </c>
      <c r="E311" s="59" t="s">
        <v>1003</v>
      </c>
      <c r="F311" s="60" t="s">
        <v>456</v>
      </c>
      <c r="G311" s="61" t="s">
        <v>389</v>
      </c>
      <c r="H311" s="61" t="s">
        <v>390</v>
      </c>
      <c r="I311" s="62" t="s">
        <v>392</v>
      </c>
      <c r="J311" s="63" t="s">
        <v>2240</v>
      </c>
      <c r="K311" s="99" t="s">
        <v>2239</v>
      </c>
      <c r="L311" s="130">
        <v>499440036</v>
      </c>
      <c r="M311" s="109" t="s">
        <v>564</v>
      </c>
      <c r="N311" s="12" t="s">
        <v>1635</v>
      </c>
      <c r="O311" s="100" t="s">
        <v>1636</v>
      </c>
      <c r="P311" s="131">
        <v>606133082</v>
      </c>
      <c r="Q311" s="84"/>
      <c r="S311" s="105"/>
      <c r="T311" s="112"/>
      <c r="U311" s="172">
        <v>0</v>
      </c>
      <c r="V311" s="135">
        <f t="shared" si="63"/>
        <v>0</v>
      </c>
      <c r="W311" s="173">
        <f t="shared" si="64"/>
        <v>0</v>
      </c>
      <c r="X311" s="69">
        <v>646976</v>
      </c>
      <c r="Y311" s="48">
        <f t="shared" si="65"/>
        <v>298.0082911100875</v>
      </c>
      <c r="Z311" s="137">
        <f t="shared" si="66"/>
        <v>151.58176874605363</v>
      </c>
      <c r="AA311" s="69">
        <v>0</v>
      </c>
      <c r="AB311" s="48">
        <f t="shared" si="67"/>
        <v>0</v>
      </c>
      <c r="AC311" s="137">
        <f t="shared" si="68"/>
        <v>0</v>
      </c>
      <c r="AD311" s="70">
        <f t="shared" si="69"/>
        <v>646976</v>
      </c>
      <c r="AE311" s="71">
        <f t="shared" si="70"/>
        <v>298.0082911100875</v>
      </c>
      <c r="AF311" s="193">
        <f t="shared" si="71"/>
        <v>151.58176874605363</v>
      </c>
      <c r="AG311" s="185">
        <f t="shared" si="72"/>
        <v>3.7409349793286885E-3</v>
      </c>
      <c r="AH311" s="180">
        <f t="shared" si="76"/>
        <v>1.3681031930640726E-2</v>
      </c>
      <c r="AI311" s="189">
        <v>2171</v>
      </c>
      <c r="AJ311" s="125">
        <v>4268.165</v>
      </c>
      <c r="AK311" s="149">
        <v>795</v>
      </c>
      <c r="AL311" s="221">
        <v>448</v>
      </c>
      <c r="AM311" s="216">
        <v>55.223880597014926</v>
      </c>
      <c r="AN311" s="213">
        <v>5.241935483870968</v>
      </c>
      <c r="AO311" s="127">
        <v>34.588999999999999</v>
      </c>
      <c r="AP311" s="133">
        <v>9.4580000000000002</v>
      </c>
      <c r="AQ311" s="224">
        <f t="shared" si="73"/>
        <v>1.0032347504621073</v>
      </c>
      <c r="AR311" s="158">
        <v>2164</v>
      </c>
      <c r="AS311" s="229">
        <f t="shared" si="74"/>
        <v>0.52200048088482809</v>
      </c>
      <c r="AT311" s="230">
        <v>4159</v>
      </c>
      <c r="AU311" s="203">
        <v>14.97005988023952</v>
      </c>
      <c r="AV311" s="204">
        <v>66.513127590971905</v>
      </c>
      <c r="AW311" s="205">
        <v>18.516812528788577</v>
      </c>
      <c r="AX311" s="123">
        <v>4.1181000000000001</v>
      </c>
      <c r="AY311" s="281">
        <v>4.4957472660996354</v>
      </c>
      <c r="AZ311" s="282">
        <v>50.060753341433781</v>
      </c>
      <c r="BA311" s="283">
        <f t="shared" si="75"/>
        <v>45.443499392466578</v>
      </c>
      <c r="BB311" s="234">
        <v>60.773480662983424</v>
      </c>
      <c r="BC311" s="20">
        <v>2015</v>
      </c>
      <c r="BD311" s="263" t="s">
        <v>556</v>
      </c>
      <c r="BE311" s="261" t="s">
        <v>556</v>
      </c>
      <c r="BF311" s="259" t="s">
        <v>556</v>
      </c>
      <c r="BG311" s="256">
        <v>34.224598930481278</v>
      </c>
      <c r="BH311" s="248" t="s">
        <v>556</v>
      </c>
      <c r="BI311" s="249">
        <v>40.646528881823002</v>
      </c>
      <c r="BJ311" s="308" t="s">
        <v>556</v>
      </c>
      <c r="BK311" s="307" t="s">
        <v>556</v>
      </c>
      <c r="BL311" s="319" t="s">
        <v>1728</v>
      </c>
      <c r="BM311" s="320" t="s">
        <v>556</v>
      </c>
      <c r="BN311" s="321" t="s">
        <v>2243</v>
      </c>
      <c r="BO311" s="145" t="s">
        <v>556</v>
      </c>
      <c r="BP311" s="14" t="s">
        <v>556</v>
      </c>
      <c r="BQ311" s="14" t="s">
        <v>557</v>
      </c>
    </row>
    <row r="312" spans="1:70" s="56" customFormat="1" ht="13.95" customHeight="1" x14ac:dyDescent="0.3">
      <c r="A312" s="56" t="s">
        <v>459</v>
      </c>
      <c r="B312" s="57" t="s">
        <v>462</v>
      </c>
      <c r="C312" s="55" t="s">
        <v>359</v>
      </c>
      <c r="D312" s="58">
        <v>1</v>
      </c>
      <c r="E312" s="59"/>
      <c r="F312" s="60" t="s">
        <v>455</v>
      </c>
      <c r="G312" s="61" t="s">
        <v>528</v>
      </c>
      <c r="H312" s="61" t="s">
        <v>336</v>
      </c>
      <c r="I312" s="62" t="s">
        <v>336</v>
      </c>
      <c r="J312" s="63" t="s">
        <v>2244</v>
      </c>
      <c r="K312" s="99" t="s">
        <v>1493</v>
      </c>
      <c r="L312" s="130">
        <v>494594168</v>
      </c>
      <c r="M312" s="109" t="s">
        <v>537</v>
      </c>
      <c r="N312" s="12" t="s">
        <v>1492</v>
      </c>
      <c r="O312" s="100"/>
      <c r="P312" s="131"/>
      <c r="Q312" s="84"/>
      <c r="S312" s="105"/>
      <c r="T312" s="112"/>
      <c r="U312" s="170">
        <v>140000</v>
      </c>
      <c r="V312" s="48">
        <f t="shared" si="63"/>
        <v>345.67901234567898</v>
      </c>
      <c r="W312" s="171">
        <f t="shared" si="64"/>
        <v>152.63430455994984</v>
      </c>
      <c r="X312" s="69">
        <v>31000</v>
      </c>
      <c r="Y312" s="48">
        <f t="shared" si="65"/>
        <v>76.543209876543216</v>
      </c>
      <c r="Z312" s="137">
        <f t="shared" si="66"/>
        <v>33.797596009703177</v>
      </c>
      <c r="AA312" s="69">
        <v>0</v>
      </c>
      <c r="AB312" s="48">
        <f t="shared" si="67"/>
        <v>0</v>
      </c>
      <c r="AC312" s="137">
        <f t="shared" si="68"/>
        <v>0</v>
      </c>
      <c r="AD312" s="70">
        <f t="shared" si="69"/>
        <v>171000</v>
      </c>
      <c r="AE312" s="71">
        <f t="shared" si="70"/>
        <v>422.22222222222223</v>
      </c>
      <c r="AF312" s="193">
        <f t="shared" si="71"/>
        <v>186.43190056965304</v>
      </c>
      <c r="AG312" s="185">
        <f t="shared" si="72"/>
        <v>7.0399341292713049E-3</v>
      </c>
      <c r="AH312" s="180">
        <f t="shared" si="76"/>
        <v>4.2118226600985215E-2</v>
      </c>
      <c r="AI312" s="189">
        <v>405</v>
      </c>
      <c r="AJ312" s="125">
        <v>917.22500000000002</v>
      </c>
      <c r="AK312" s="149">
        <v>205</v>
      </c>
      <c r="AL312" s="221">
        <v>115</v>
      </c>
      <c r="AM312" s="216">
        <v>82.389937106918239</v>
      </c>
      <c r="AN312" s="213">
        <v>21.940928270042196</v>
      </c>
      <c r="AO312" s="127">
        <v>4.8579999999999997</v>
      </c>
      <c r="AP312" s="133">
        <v>0.81200000000000006</v>
      </c>
      <c r="AQ312" s="224">
        <f t="shared" si="73"/>
        <v>0.89010989010989006</v>
      </c>
      <c r="AR312" s="158">
        <v>455</v>
      </c>
      <c r="AS312" s="229">
        <f t="shared" si="74"/>
        <v>0.51265822784810122</v>
      </c>
      <c r="AT312" s="230">
        <v>790</v>
      </c>
      <c r="AU312" s="203">
        <v>14.320987654320987</v>
      </c>
      <c r="AV312" s="204">
        <v>68.641975308641975</v>
      </c>
      <c r="AW312" s="205">
        <v>17.037037037037038</v>
      </c>
      <c r="AX312" s="123">
        <v>3.5087999999999999</v>
      </c>
      <c r="AY312" s="281">
        <v>13.586956521739129</v>
      </c>
      <c r="AZ312" s="282">
        <v>41.847826086956523</v>
      </c>
      <c r="BA312" s="283">
        <f t="shared" si="75"/>
        <v>44.565217391304351</v>
      </c>
      <c r="BB312" s="234">
        <v>92</v>
      </c>
      <c r="BC312" s="20">
        <v>2012</v>
      </c>
      <c r="BD312" s="263" t="s">
        <v>556</v>
      </c>
      <c r="BE312" s="261" t="s">
        <v>556</v>
      </c>
      <c r="BF312" s="260" t="s">
        <v>557</v>
      </c>
      <c r="BG312" s="256">
        <v>4.2755344418052257</v>
      </c>
      <c r="BH312" s="254" t="s">
        <v>557</v>
      </c>
      <c r="BI312" s="249">
        <v>0</v>
      </c>
      <c r="BJ312" s="308" t="s">
        <v>556</v>
      </c>
      <c r="BK312" s="307" t="s">
        <v>750</v>
      </c>
      <c r="BL312" s="319" t="s">
        <v>1728</v>
      </c>
      <c r="BM312" s="320" t="s">
        <v>556</v>
      </c>
      <c r="BN312" s="321" t="s">
        <v>1803</v>
      </c>
      <c r="BO312" s="145" t="s">
        <v>998</v>
      </c>
      <c r="BP312" s="14" t="s">
        <v>556</v>
      </c>
      <c r="BQ312" s="14" t="s">
        <v>556</v>
      </c>
      <c r="BR312" s="72"/>
    </row>
    <row r="313" spans="1:70" s="72" customFormat="1" ht="13.95" customHeight="1" x14ac:dyDescent="0.3">
      <c r="A313" s="56" t="s">
        <v>460</v>
      </c>
      <c r="B313" s="77" t="s">
        <v>464</v>
      </c>
      <c r="C313" s="74" t="s">
        <v>360</v>
      </c>
      <c r="D313" s="58">
        <v>8</v>
      </c>
      <c r="E313" s="59" t="s">
        <v>896</v>
      </c>
      <c r="F313" s="60" t="s">
        <v>455</v>
      </c>
      <c r="G313" s="75" t="s">
        <v>528</v>
      </c>
      <c r="H313" s="75" t="s">
        <v>528</v>
      </c>
      <c r="I313" s="76" t="s">
        <v>528</v>
      </c>
      <c r="J313" s="63" t="s">
        <v>2246</v>
      </c>
      <c r="K313" s="99" t="s">
        <v>2245</v>
      </c>
      <c r="L313" s="130">
        <v>494509111</v>
      </c>
      <c r="M313" s="109" t="s">
        <v>564</v>
      </c>
      <c r="N313" s="12" t="s">
        <v>1494</v>
      </c>
      <c r="O313" s="100" t="s">
        <v>1495</v>
      </c>
      <c r="P313" s="130">
        <v>494509100</v>
      </c>
      <c r="Q313" s="84"/>
      <c r="R313" s="56"/>
      <c r="S313" s="105" t="s">
        <v>457</v>
      </c>
      <c r="T313" s="112"/>
      <c r="U313" s="172">
        <v>0</v>
      </c>
      <c r="V313" s="135">
        <f t="shared" si="63"/>
        <v>0</v>
      </c>
      <c r="W313" s="173">
        <f t="shared" si="64"/>
        <v>0</v>
      </c>
      <c r="X313" s="69">
        <f>109469+120000+10000</f>
        <v>239469</v>
      </c>
      <c r="Y313" s="48">
        <f t="shared" si="65"/>
        <v>21.597132034632036</v>
      </c>
      <c r="Z313" s="137">
        <f t="shared" si="66"/>
        <v>68.466502337225762</v>
      </c>
      <c r="AA313" s="69">
        <v>5000000</v>
      </c>
      <c r="AB313" s="48">
        <f t="shared" si="67"/>
        <v>450.93795093795092</v>
      </c>
      <c r="AC313" s="137">
        <f t="shared" si="68"/>
        <v>1429.5483410634729</v>
      </c>
      <c r="AD313" s="70">
        <f t="shared" si="69"/>
        <v>5239469</v>
      </c>
      <c r="AE313" s="71">
        <f t="shared" si="70"/>
        <v>472.53508297258298</v>
      </c>
      <c r="AF313" s="193">
        <f t="shared" si="71"/>
        <v>1498.0148434006987</v>
      </c>
      <c r="AG313" s="185">
        <f t="shared" si="72"/>
        <v>4.7621146295353739E-3</v>
      </c>
      <c r="AH313" s="180">
        <f t="shared" si="76"/>
        <v>3.3597108047451106E-2</v>
      </c>
      <c r="AI313" s="189">
        <v>11088</v>
      </c>
      <c r="AJ313" s="126">
        <v>3497.6082000000001</v>
      </c>
      <c r="AK313" s="150">
        <v>2145</v>
      </c>
      <c r="AL313" s="221">
        <v>1591</v>
      </c>
      <c r="AM313" s="216">
        <v>33.499566348655677</v>
      </c>
      <c r="AN313" s="213">
        <v>0.78755660563102969</v>
      </c>
      <c r="AO313" s="128">
        <v>220.048</v>
      </c>
      <c r="AP313" s="134">
        <v>31.19</v>
      </c>
      <c r="AQ313" s="224">
        <f t="shared" si="73"/>
        <v>0.95983379501385047</v>
      </c>
      <c r="AR313" s="158">
        <v>11552</v>
      </c>
      <c r="AS313" s="229">
        <f t="shared" si="74"/>
        <v>1.7257587548638131</v>
      </c>
      <c r="AT313" s="230">
        <v>6425</v>
      </c>
      <c r="AU313" s="203">
        <v>15.088383838383837</v>
      </c>
      <c r="AV313" s="204">
        <v>66.360028860028862</v>
      </c>
      <c r="AW313" s="205">
        <v>18.551587301587304</v>
      </c>
      <c r="AX313" s="123">
        <v>2.3191000000000002</v>
      </c>
      <c r="AY313" s="281">
        <v>2.0261314145048286</v>
      </c>
      <c r="AZ313" s="282">
        <v>37.322476803635674</v>
      </c>
      <c r="BA313" s="283">
        <f t="shared" si="75"/>
        <v>60.651391781859495</v>
      </c>
      <c r="BB313" s="234">
        <v>33.633151300995827</v>
      </c>
      <c r="BC313" s="20">
        <v>2015</v>
      </c>
      <c r="BD313" s="263" t="s">
        <v>556</v>
      </c>
      <c r="BE313" s="261" t="s">
        <v>556</v>
      </c>
      <c r="BF313" s="259" t="s">
        <v>556</v>
      </c>
      <c r="BG313" s="256">
        <v>83.970789593792787</v>
      </c>
      <c r="BH313" s="248" t="s">
        <v>556</v>
      </c>
      <c r="BI313" s="249">
        <v>16.78817127015094</v>
      </c>
      <c r="BJ313" s="311" t="s">
        <v>2248</v>
      </c>
      <c r="BK313" s="307" t="s">
        <v>556</v>
      </c>
      <c r="BL313" s="319" t="s">
        <v>1777</v>
      </c>
      <c r="BM313" s="320" t="s">
        <v>556</v>
      </c>
      <c r="BN313" s="321" t="s">
        <v>2247</v>
      </c>
      <c r="BO313" s="145" t="s">
        <v>556</v>
      </c>
      <c r="BP313" s="14" t="s">
        <v>556</v>
      </c>
      <c r="BQ313" s="14" t="s">
        <v>556</v>
      </c>
      <c r="BR313" s="56"/>
    </row>
    <row r="314" spans="1:70" s="56" customFormat="1" ht="13.95" customHeight="1" x14ac:dyDescent="0.3">
      <c r="A314" s="56" t="s">
        <v>459</v>
      </c>
      <c r="B314" s="57" t="s">
        <v>462</v>
      </c>
      <c r="C314" s="55" t="s">
        <v>273</v>
      </c>
      <c r="D314" s="58">
        <v>3</v>
      </c>
      <c r="E314" s="59" t="s">
        <v>660</v>
      </c>
      <c r="F314" s="60" t="s">
        <v>454</v>
      </c>
      <c r="G314" s="61" t="s">
        <v>242</v>
      </c>
      <c r="H314" s="61" t="s">
        <v>242</v>
      </c>
      <c r="I314" s="62" t="s">
        <v>242</v>
      </c>
      <c r="J314" s="63" t="s">
        <v>2249</v>
      </c>
      <c r="K314" s="99" t="s">
        <v>1675</v>
      </c>
      <c r="L314" s="130">
        <v>494810558</v>
      </c>
      <c r="M314" s="109" t="s">
        <v>537</v>
      </c>
      <c r="N314" s="12" t="s">
        <v>1345</v>
      </c>
      <c r="O314" s="100"/>
      <c r="P314" s="131">
        <v>724186810</v>
      </c>
      <c r="Q314" s="67"/>
      <c r="R314" s="68"/>
      <c r="S314" s="99"/>
      <c r="T314" s="65"/>
      <c r="U314" s="170">
        <v>182000</v>
      </c>
      <c r="V314" s="48">
        <f t="shared" si="63"/>
        <v>287.97468354430379</v>
      </c>
      <c r="W314" s="171">
        <f t="shared" si="64"/>
        <v>160.48711896874858</v>
      </c>
      <c r="X314" s="69">
        <v>0</v>
      </c>
      <c r="Y314" s="48">
        <f t="shared" si="65"/>
        <v>0</v>
      </c>
      <c r="Z314" s="137">
        <f t="shared" si="66"/>
        <v>0</v>
      </c>
      <c r="AA314" s="69">
        <v>0</v>
      </c>
      <c r="AB314" s="48">
        <f t="shared" si="67"/>
        <v>0</v>
      </c>
      <c r="AC314" s="137">
        <f t="shared" si="68"/>
        <v>0</v>
      </c>
      <c r="AD314" s="70">
        <f t="shared" si="69"/>
        <v>182000</v>
      </c>
      <c r="AE314" s="71">
        <f t="shared" si="70"/>
        <v>287.97468354430379</v>
      </c>
      <c r="AF314" s="193">
        <f t="shared" si="71"/>
        <v>160.48711896874858</v>
      </c>
      <c r="AG314" s="185">
        <f t="shared" si="72"/>
        <v>5.2487382840663305E-3</v>
      </c>
      <c r="AH314" s="180">
        <f t="shared" si="76"/>
        <v>3.2442067736185382E-2</v>
      </c>
      <c r="AI314" s="189">
        <v>632</v>
      </c>
      <c r="AJ314" s="125">
        <v>1134.0473999999999</v>
      </c>
      <c r="AK314" s="149">
        <v>236</v>
      </c>
      <c r="AL314" s="221">
        <v>156</v>
      </c>
      <c r="AM314" s="216">
        <v>82.125603864734302</v>
      </c>
      <c r="AN314" s="213">
        <v>6.2962962962962967</v>
      </c>
      <c r="AO314" s="127">
        <v>6.9349999999999996</v>
      </c>
      <c r="AP314" s="133">
        <v>1.1220000000000001</v>
      </c>
      <c r="AQ314" s="224">
        <f t="shared" si="73"/>
        <v>1.1205673758865249</v>
      </c>
      <c r="AR314" s="158">
        <v>564</v>
      </c>
      <c r="AS314" s="229">
        <f t="shared" si="74"/>
        <v>0.73488372093023258</v>
      </c>
      <c r="AT314" s="230">
        <v>860</v>
      </c>
      <c r="AU314" s="203">
        <v>15.664556962025317</v>
      </c>
      <c r="AV314" s="204">
        <v>67.721518987341767</v>
      </c>
      <c r="AW314" s="205">
        <v>16.61392405063291</v>
      </c>
      <c r="AX314" s="123">
        <v>4.157</v>
      </c>
      <c r="AY314" s="281">
        <v>5.9925093632958806</v>
      </c>
      <c r="AZ314" s="282">
        <v>37.078651685393261</v>
      </c>
      <c r="BA314" s="283">
        <f t="shared" si="75"/>
        <v>56.928838951310858</v>
      </c>
      <c r="BB314" s="234">
        <v>76.92307692307692</v>
      </c>
      <c r="BC314" s="20">
        <v>2001</v>
      </c>
      <c r="BD314" s="263" t="s">
        <v>556</v>
      </c>
      <c r="BE314" s="261" t="s">
        <v>556</v>
      </c>
      <c r="BF314" s="260" t="s">
        <v>557</v>
      </c>
      <c r="BG314" s="256">
        <v>42.534722222222221</v>
      </c>
      <c r="BH314" s="254" t="s">
        <v>557</v>
      </c>
      <c r="BI314" s="249">
        <v>0</v>
      </c>
      <c r="BJ314" s="308" t="s">
        <v>556</v>
      </c>
      <c r="BK314" s="307" t="s">
        <v>750</v>
      </c>
      <c r="BL314" s="319" t="s">
        <v>1728</v>
      </c>
      <c r="BM314" s="320" t="s">
        <v>556</v>
      </c>
      <c r="BN314" s="321" t="s">
        <v>2234</v>
      </c>
      <c r="BO314" s="145" t="s">
        <v>556</v>
      </c>
      <c r="BP314" s="14" t="s">
        <v>556</v>
      </c>
      <c r="BQ314" s="14" t="s">
        <v>556</v>
      </c>
    </row>
    <row r="315" spans="1:70" s="56" customFormat="1" ht="13.95" customHeight="1" x14ac:dyDescent="0.3">
      <c r="A315" s="56" t="s">
        <v>459</v>
      </c>
      <c r="B315" s="57" t="s">
        <v>462</v>
      </c>
      <c r="C315" s="55" t="s">
        <v>361</v>
      </c>
      <c r="D315" s="58">
        <v>1</v>
      </c>
      <c r="E315" s="59"/>
      <c r="F315" s="60" t="s">
        <v>455</v>
      </c>
      <c r="G315" s="61" t="s">
        <v>528</v>
      </c>
      <c r="H315" s="61" t="s">
        <v>527</v>
      </c>
      <c r="I315" s="62" t="s">
        <v>527</v>
      </c>
      <c r="J315" s="63" t="s">
        <v>2241</v>
      </c>
      <c r="K315" s="99" t="s">
        <v>1497</v>
      </c>
      <c r="L315" s="130">
        <v>724187334</v>
      </c>
      <c r="M315" s="109" t="s">
        <v>564</v>
      </c>
      <c r="N315" s="12" t="s">
        <v>1496</v>
      </c>
      <c r="O315" s="100"/>
      <c r="P315" s="131">
        <v>603492062</v>
      </c>
      <c r="Q315" s="82"/>
      <c r="R315" s="72"/>
      <c r="S315" s="115"/>
      <c r="T315" s="112"/>
      <c r="U315" s="170">
        <v>172274</v>
      </c>
      <c r="V315" s="48">
        <f t="shared" si="63"/>
        <v>2153.4250000000002</v>
      </c>
      <c r="W315" s="171">
        <f t="shared" si="64"/>
        <v>116.40819426547371</v>
      </c>
      <c r="X315" s="69">
        <v>0</v>
      </c>
      <c r="Y315" s="48">
        <f t="shared" si="65"/>
        <v>0</v>
      </c>
      <c r="Z315" s="137">
        <f t="shared" si="66"/>
        <v>0</v>
      </c>
      <c r="AA315" s="69">
        <v>0</v>
      </c>
      <c r="AB315" s="48">
        <f t="shared" si="67"/>
        <v>0</v>
      </c>
      <c r="AC315" s="137">
        <f t="shared" si="68"/>
        <v>0</v>
      </c>
      <c r="AD315" s="70">
        <f t="shared" si="69"/>
        <v>172274</v>
      </c>
      <c r="AE315" s="71">
        <f t="shared" si="70"/>
        <v>2153.4250000000002</v>
      </c>
      <c r="AF315" s="193">
        <f t="shared" si="71"/>
        <v>116.40819426547371</v>
      </c>
      <c r="AG315" s="185">
        <f t="shared" si="72"/>
        <v>1.1640135135135135E-2</v>
      </c>
      <c r="AH315" s="180">
        <f t="shared" si="76"/>
        <v>5.4517088607594931E-2</v>
      </c>
      <c r="AI315" s="189">
        <v>80</v>
      </c>
      <c r="AJ315" s="125">
        <v>1479.913</v>
      </c>
      <c r="AK315" s="149">
        <v>257</v>
      </c>
      <c r="AL315" s="221">
        <v>23</v>
      </c>
      <c r="AM315" s="216">
        <v>47.058823529411761</v>
      </c>
      <c r="AN315" s="213">
        <v>12.64367816091954</v>
      </c>
      <c r="AO315" s="127">
        <v>2.96</v>
      </c>
      <c r="AP315" s="133">
        <v>0.63200000000000001</v>
      </c>
      <c r="AQ315" s="224">
        <f t="shared" si="73"/>
        <v>0.898876404494382</v>
      </c>
      <c r="AR315" s="158">
        <v>89</v>
      </c>
      <c r="AS315" s="229">
        <f t="shared" si="74"/>
        <v>8.6114101184068897E-2</v>
      </c>
      <c r="AT315" s="230">
        <v>929</v>
      </c>
      <c r="AU315" s="203">
        <v>17.5</v>
      </c>
      <c r="AV315" s="204">
        <v>72.5</v>
      </c>
      <c r="AW315" s="205">
        <v>10</v>
      </c>
      <c r="AX315" s="123">
        <v>7.8125</v>
      </c>
      <c r="AY315" s="281">
        <v>16.666666666666664</v>
      </c>
      <c r="AZ315" s="282">
        <v>13.333333333333334</v>
      </c>
      <c r="BA315" s="283">
        <f t="shared" si="75"/>
        <v>70.000000000000014</v>
      </c>
      <c r="BB315" s="234">
        <v>47.058823529411761</v>
      </c>
      <c r="BC315" s="20">
        <v>1997</v>
      </c>
      <c r="BD315" s="263" t="s">
        <v>556</v>
      </c>
      <c r="BE315" s="261" t="s">
        <v>556</v>
      </c>
      <c r="BF315" s="259" t="s">
        <v>556</v>
      </c>
      <c r="BG315" s="256">
        <v>77.027027027027032</v>
      </c>
      <c r="BH315" s="254" t="s">
        <v>557</v>
      </c>
      <c r="BI315" s="249">
        <v>0</v>
      </c>
      <c r="BJ315" s="309" t="s">
        <v>557</v>
      </c>
      <c r="BK315" s="307" t="s">
        <v>557</v>
      </c>
      <c r="BL315" s="319" t="s">
        <v>557</v>
      </c>
      <c r="BM315" s="320" t="s">
        <v>557</v>
      </c>
      <c r="BN315" s="321" t="s">
        <v>1791</v>
      </c>
      <c r="BO315" s="145" t="s">
        <v>557</v>
      </c>
      <c r="BP315" s="14" t="s">
        <v>556</v>
      </c>
      <c r="BQ315" s="14" t="s">
        <v>557</v>
      </c>
    </row>
    <row r="316" spans="1:70" s="56" customFormat="1" ht="13.95" customHeight="1" x14ac:dyDescent="0.3">
      <c r="A316" s="56" t="s">
        <v>459</v>
      </c>
      <c r="B316" s="57" t="s">
        <v>462</v>
      </c>
      <c r="C316" s="55" t="s">
        <v>274</v>
      </c>
      <c r="D316" s="58">
        <v>1</v>
      </c>
      <c r="E316" s="59"/>
      <c r="F316" s="60" t="s">
        <v>454</v>
      </c>
      <c r="G316" s="61" t="s">
        <v>226</v>
      </c>
      <c r="H316" s="61" t="s">
        <v>233</v>
      </c>
      <c r="I316" s="62" t="s">
        <v>233</v>
      </c>
      <c r="J316" s="63" t="s">
        <v>2242</v>
      </c>
      <c r="K316" s="99" t="s">
        <v>1347</v>
      </c>
      <c r="L316" s="130" t="s">
        <v>2259</v>
      </c>
      <c r="M316" s="109" t="s">
        <v>537</v>
      </c>
      <c r="N316" s="12" t="s">
        <v>1346</v>
      </c>
      <c r="O316" s="100"/>
      <c r="P316" s="131">
        <v>724184504</v>
      </c>
      <c r="Q316" s="67"/>
      <c r="R316" s="68"/>
      <c r="S316" s="99"/>
      <c r="T316" s="65"/>
      <c r="U316" s="170">
        <v>371000</v>
      </c>
      <c r="V316" s="48">
        <f t="shared" si="63"/>
        <v>1818.6274509803923</v>
      </c>
      <c r="W316" s="171">
        <f t="shared" si="64"/>
        <v>1500.5528991410042</v>
      </c>
      <c r="X316" s="69">
        <v>0</v>
      </c>
      <c r="Y316" s="48">
        <f t="shared" si="65"/>
        <v>0</v>
      </c>
      <c r="Z316" s="137">
        <f t="shared" si="66"/>
        <v>0</v>
      </c>
      <c r="AA316" s="69">
        <v>0</v>
      </c>
      <c r="AB316" s="48">
        <f t="shared" si="67"/>
        <v>0</v>
      </c>
      <c r="AC316" s="137">
        <f t="shared" si="68"/>
        <v>0</v>
      </c>
      <c r="AD316" s="70">
        <f t="shared" si="69"/>
        <v>371000</v>
      </c>
      <c r="AE316" s="71">
        <f t="shared" si="70"/>
        <v>1818.6274509803923</v>
      </c>
      <c r="AF316" s="193">
        <f t="shared" si="71"/>
        <v>1500.5528991410042</v>
      </c>
      <c r="AG316" s="185">
        <f t="shared" si="72"/>
        <v>2.0362239297475302E-2</v>
      </c>
      <c r="AH316" s="180">
        <f t="shared" si="76"/>
        <v>8.6480186480186488E-2</v>
      </c>
      <c r="AI316" s="189">
        <v>204</v>
      </c>
      <c r="AJ316" s="125">
        <v>247.2422</v>
      </c>
      <c r="AK316" s="149">
        <v>92</v>
      </c>
      <c r="AL316" s="221">
        <v>58</v>
      </c>
      <c r="AM316" s="216">
        <v>95.588235294117652</v>
      </c>
      <c r="AN316" s="213">
        <v>6.8181818181818192</v>
      </c>
      <c r="AO316" s="127">
        <v>3.6440000000000001</v>
      </c>
      <c r="AP316" s="133">
        <v>0.85799999999999998</v>
      </c>
      <c r="AQ316" s="224">
        <f t="shared" si="73"/>
        <v>1.3333333333333333</v>
      </c>
      <c r="AR316" s="158">
        <v>153</v>
      </c>
      <c r="AS316" s="229">
        <f t="shared" si="74"/>
        <v>0.77272727272727271</v>
      </c>
      <c r="AT316" s="230">
        <v>264</v>
      </c>
      <c r="AU316" s="203">
        <v>20.098039215686274</v>
      </c>
      <c r="AV316" s="204">
        <v>62.254901960784316</v>
      </c>
      <c r="AW316" s="205">
        <v>17.647058823529413</v>
      </c>
      <c r="AX316" s="123">
        <v>3.2258</v>
      </c>
      <c r="AY316" s="281">
        <v>5.0632911392405067</v>
      </c>
      <c r="AZ316" s="282">
        <v>45.569620253164558</v>
      </c>
      <c r="BA316" s="283">
        <f t="shared" si="75"/>
        <v>49.367088607594937</v>
      </c>
      <c r="BB316" s="234">
        <v>27.619047619047617</v>
      </c>
      <c r="BC316" s="20">
        <v>2000</v>
      </c>
      <c r="BD316" s="263" t="s">
        <v>556</v>
      </c>
      <c r="BE316" s="261" t="s">
        <v>556</v>
      </c>
      <c r="BF316" s="260" t="s">
        <v>557</v>
      </c>
      <c r="BG316" s="256">
        <v>14.673913043478262</v>
      </c>
      <c r="BH316" s="254" t="s">
        <v>557</v>
      </c>
      <c r="BI316" s="249">
        <v>0</v>
      </c>
      <c r="BJ316" s="309" t="s">
        <v>557</v>
      </c>
      <c r="BK316" s="307" t="s">
        <v>557</v>
      </c>
      <c r="BL316" s="319" t="s">
        <v>1728</v>
      </c>
      <c r="BM316" s="320" t="s">
        <v>556</v>
      </c>
      <c r="BN316" s="321" t="s">
        <v>1838</v>
      </c>
      <c r="BO316" s="145" t="s">
        <v>557</v>
      </c>
      <c r="BP316" s="14" t="s">
        <v>557</v>
      </c>
      <c r="BQ316" s="14" t="s">
        <v>557</v>
      </c>
    </row>
    <row r="317" spans="1:70" s="56" customFormat="1" ht="13.95" customHeight="1" x14ac:dyDescent="0.3">
      <c r="A317" s="56" t="s">
        <v>459</v>
      </c>
      <c r="B317" s="57" t="s">
        <v>462</v>
      </c>
      <c r="C317" s="55" t="s">
        <v>86</v>
      </c>
      <c r="D317" s="58">
        <v>1</v>
      </c>
      <c r="E317" s="59"/>
      <c r="F317" s="60" t="s">
        <v>452</v>
      </c>
      <c r="G317" s="61" t="s">
        <v>11</v>
      </c>
      <c r="H317" s="61" t="s">
        <v>11</v>
      </c>
      <c r="I317" s="62" t="s">
        <v>11</v>
      </c>
      <c r="J317" s="63" t="s">
        <v>771</v>
      </c>
      <c r="K317" s="99" t="s">
        <v>772</v>
      </c>
      <c r="L317" s="130">
        <v>498773905</v>
      </c>
      <c r="M317" s="109" t="s">
        <v>564</v>
      </c>
      <c r="N317" s="12" t="s">
        <v>773</v>
      </c>
      <c r="O317" s="100"/>
      <c r="P317" s="131">
        <v>724188038</v>
      </c>
      <c r="Q317" s="67"/>
      <c r="R317" s="68"/>
      <c r="S317" s="99"/>
      <c r="T317" s="65"/>
      <c r="U317" s="170">
        <v>600000</v>
      </c>
      <c r="V317" s="48">
        <f t="shared" si="63"/>
        <v>1904.7619047619048</v>
      </c>
      <c r="W317" s="171">
        <f t="shared" si="64"/>
        <v>2909.7017701170716</v>
      </c>
      <c r="X317" s="69">
        <v>0</v>
      </c>
      <c r="Y317" s="48">
        <f t="shared" si="65"/>
        <v>0</v>
      </c>
      <c r="Z317" s="137">
        <f t="shared" si="66"/>
        <v>0</v>
      </c>
      <c r="AA317" s="69">
        <v>0</v>
      </c>
      <c r="AB317" s="48">
        <f t="shared" si="67"/>
        <v>0</v>
      </c>
      <c r="AC317" s="137">
        <f t="shared" si="68"/>
        <v>0</v>
      </c>
      <c r="AD317" s="70">
        <f t="shared" si="69"/>
        <v>600000</v>
      </c>
      <c r="AE317" s="71">
        <f t="shared" si="70"/>
        <v>1904.7619047619048</v>
      </c>
      <c r="AF317" s="193">
        <f t="shared" si="71"/>
        <v>2909.7017701170716</v>
      </c>
      <c r="AG317" s="185">
        <f t="shared" si="72"/>
        <v>1.8187329493785997E-2</v>
      </c>
      <c r="AH317" s="180">
        <f t="shared" si="76"/>
        <v>4.707728520988623E-2</v>
      </c>
      <c r="AI317" s="189">
        <v>315</v>
      </c>
      <c r="AJ317" s="125">
        <v>206.20670000000001</v>
      </c>
      <c r="AK317" s="149">
        <v>135</v>
      </c>
      <c r="AL317" s="221">
        <v>101</v>
      </c>
      <c r="AM317" s="216">
        <v>94.696969696969703</v>
      </c>
      <c r="AN317" s="213">
        <v>4.3209876543209873</v>
      </c>
      <c r="AO317" s="127">
        <v>6.5979999999999999</v>
      </c>
      <c r="AP317" s="133">
        <v>2.5489999999999999</v>
      </c>
      <c r="AQ317" s="224">
        <f t="shared" si="73"/>
        <v>0.87743732590529244</v>
      </c>
      <c r="AR317" s="158">
        <v>359</v>
      </c>
      <c r="AS317" s="229">
        <f t="shared" si="74"/>
        <v>1</v>
      </c>
      <c r="AT317" s="230">
        <v>315</v>
      </c>
      <c r="AU317" s="203">
        <v>12.380952380952381</v>
      </c>
      <c r="AV317" s="204">
        <v>63.492063492063494</v>
      </c>
      <c r="AW317" s="205">
        <v>24.126984126984127</v>
      </c>
      <c r="AX317" s="123">
        <v>2.8571</v>
      </c>
      <c r="AY317" s="281">
        <v>6.2068965517241379</v>
      </c>
      <c r="AZ317" s="282">
        <v>26.896551724137929</v>
      </c>
      <c r="BA317" s="283">
        <f t="shared" si="75"/>
        <v>66.896551724137936</v>
      </c>
      <c r="BB317" s="234">
        <v>61.702127659574472</v>
      </c>
      <c r="BC317" s="20">
        <v>2011</v>
      </c>
      <c r="BD317" s="263" t="s">
        <v>556</v>
      </c>
      <c r="BE317" s="261" t="s">
        <v>556</v>
      </c>
      <c r="BF317" s="260" t="s">
        <v>557</v>
      </c>
      <c r="BG317" s="256">
        <v>39.318885448916404</v>
      </c>
      <c r="BH317" s="248" t="s">
        <v>556</v>
      </c>
      <c r="BI317" s="249">
        <v>64.649681528662413</v>
      </c>
      <c r="BJ317" s="309" t="s">
        <v>557</v>
      </c>
      <c r="BK317" s="307" t="s">
        <v>557</v>
      </c>
      <c r="BL317" s="319" t="s">
        <v>1728</v>
      </c>
      <c r="BM317" s="320" t="s">
        <v>557</v>
      </c>
      <c r="BN317" s="321" t="s">
        <v>557</v>
      </c>
      <c r="BO317" s="145" t="s">
        <v>557</v>
      </c>
      <c r="BP317" s="14" t="s">
        <v>557</v>
      </c>
      <c r="BQ317" s="14" t="s">
        <v>556</v>
      </c>
    </row>
    <row r="318" spans="1:70" s="72" customFormat="1" ht="13.95" customHeight="1" x14ac:dyDescent="0.3">
      <c r="A318" s="56" t="s">
        <v>459</v>
      </c>
      <c r="B318" s="57" t="s">
        <v>462</v>
      </c>
      <c r="C318" s="55" t="s">
        <v>183</v>
      </c>
      <c r="D318" s="58">
        <v>5</v>
      </c>
      <c r="E318" s="59" t="s">
        <v>599</v>
      </c>
      <c r="F318" s="60" t="s">
        <v>453</v>
      </c>
      <c r="G318" s="61" t="s">
        <v>113</v>
      </c>
      <c r="H318" s="61" t="s">
        <v>159</v>
      </c>
      <c r="I318" s="62" t="s">
        <v>159</v>
      </c>
      <c r="J318" s="63" t="s">
        <v>2260</v>
      </c>
      <c r="K318" s="99" t="s">
        <v>1144</v>
      </c>
      <c r="L318" s="130">
        <v>493572101</v>
      </c>
      <c r="M318" s="109" t="s">
        <v>564</v>
      </c>
      <c r="N318" s="12" t="s">
        <v>1143</v>
      </c>
      <c r="O318" s="100"/>
      <c r="P318" s="131">
        <v>724181920</v>
      </c>
      <c r="Q318" s="67"/>
      <c r="R318" s="68"/>
      <c r="S318" s="99"/>
      <c r="T318" s="65"/>
      <c r="U318" s="170">
        <f>276000+812500</f>
        <v>1088500</v>
      </c>
      <c r="V318" s="48">
        <f t="shared" si="63"/>
        <v>4092.1052631578946</v>
      </c>
      <c r="W318" s="171">
        <f t="shared" si="64"/>
        <v>1614.6054674086288</v>
      </c>
      <c r="X318" s="69">
        <v>0</v>
      </c>
      <c r="Y318" s="48">
        <f t="shared" si="65"/>
        <v>0</v>
      </c>
      <c r="Z318" s="137">
        <f t="shared" si="66"/>
        <v>0</v>
      </c>
      <c r="AA318" s="69">
        <v>0</v>
      </c>
      <c r="AB318" s="48">
        <f t="shared" si="67"/>
        <v>0</v>
      </c>
      <c r="AC318" s="137">
        <f t="shared" si="68"/>
        <v>0</v>
      </c>
      <c r="AD318" s="70">
        <f t="shared" si="69"/>
        <v>1088500</v>
      </c>
      <c r="AE318" s="71">
        <f t="shared" si="70"/>
        <v>4092.1052631578946</v>
      </c>
      <c r="AF318" s="193">
        <f t="shared" si="71"/>
        <v>1614.6054674086288</v>
      </c>
      <c r="AG318" s="185">
        <f t="shared" si="72"/>
        <v>6.6452991452991453E-2</v>
      </c>
      <c r="AH318" s="180">
        <f t="shared" si="76"/>
        <v>0.18402366863905326</v>
      </c>
      <c r="AI318" s="189">
        <v>266</v>
      </c>
      <c r="AJ318" s="125">
        <v>674.1585</v>
      </c>
      <c r="AK318" s="149">
        <v>168</v>
      </c>
      <c r="AL318" s="221">
        <v>73</v>
      </c>
      <c r="AM318" s="216">
        <v>92.771084337349393</v>
      </c>
      <c r="AN318" s="213">
        <v>3.4090909090909092</v>
      </c>
      <c r="AO318" s="127">
        <v>3.2759999999999998</v>
      </c>
      <c r="AP318" s="133">
        <v>1.1830000000000001</v>
      </c>
      <c r="AQ318" s="224">
        <f t="shared" si="73"/>
        <v>1.1176470588235294</v>
      </c>
      <c r="AR318" s="158">
        <v>238</v>
      </c>
      <c r="AS318" s="229">
        <f t="shared" si="74"/>
        <v>0.41692789968652039</v>
      </c>
      <c r="AT318" s="230">
        <v>638</v>
      </c>
      <c r="AU318" s="203">
        <v>15.413533834586465</v>
      </c>
      <c r="AV318" s="204">
        <v>65.789473684210535</v>
      </c>
      <c r="AW318" s="205">
        <v>18.796992481203006</v>
      </c>
      <c r="AX318" s="123">
        <v>4.4943999999999997</v>
      </c>
      <c r="AY318" s="281">
        <v>4.2016806722689077</v>
      </c>
      <c r="AZ318" s="282">
        <v>43.69747899159664</v>
      </c>
      <c r="BA318" s="283">
        <f t="shared" si="75"/>
        <v>52.100840336134453</v>
      </c>
      <c r="BB318" s="234">
        <v>96</v>
      </c>
      <c r="BC318" s="20">
        <v>2006</v>
      </c>
      <c r="BD318" s="263" t="s">
        <v>556</v>
      </c>
      <c r="BE318" s="261" t="s">
        <v>556</v>
      </c>
      <c r="BF318" s="260" t="s">
        <v>557</v>
      </c>
      <c r="BG318" s="256">
        <v>9.7560975609756095</v>
      </c>
      <c r="BH318" s="254" t="s">
        <v>557</v>
      </c>
      <c r="BI318" s="249">
        <v>0</v>
      </c>
      <c r="BJ318" s="309" t="s">
        <v>557</v>
      </c>
      <c r="BK318" s="307" t="s">
        <v>557</v>
      </c>
      <c r="BL318" s="319" t="s">
        <v>1728</v>
      </c>
      <c r="BM318" s="320" t="s">
        <v>556</v>
      </c>
      <c r="BN318" s="321" t="s">
        <v>1838</v>
      </c>
      <c r="BO318" s="145" t="s">
        <v>998</v>
      </c>
      <c r="BP318" s="14" t="s">
        <v>556</v>
      </c>
      <c r="BQ318" s="14" t="s">
        <v>557</v>
      </c>
      <c r="BR318" s="56"/>
    </row>
    <row r="319" spans="1:70" s="72" customFormat="1" ht="13.95" customHeight="1" x14ac:dyDescent="0.3">
      <c r="A319" s="56" t="s">
        <v>459</v>
      </c>
      <c r="B319" s="57" t="s">
        <v>462</v>
      </c>
      <c r="C319" s="55" t="s">
        <v>184</v>
      </c>
      <c r="D319" s="58">
        <v>3</v>
      </c>
      <c r="E319" s="59" t="s">
        <v>600</v>
      </c>
      <c r="F319" s="60" t="s">
        <v>453</v>
      </c>
      <c r="G319" s="61" t="s">
        <v>113</v>
      </c>
      <c r="H319" s="61" t="s">
        <v>113</v>
      </c>
      <c r="I319" s="62" t="s">
        <v>156</v>
      </c>
      <c r="J319" s="63" t="s">
        <v>2250</v>
      </c>
      <c r="K319" s="99" t="s">
        <v>1145</v>
      </c>
      <c r="L319" s="130">
        <v>493592210</v>
      </c>
      <c r="M319" s="109" t="s">
        <v>564</v>
      </c>
      <c r="N319" s="12" t="s">
        <v>1146</v>
      </c>
      <c r="O319" s="100"/>
      <c r="P319" s="131">
        <v>608770741</v>
      </c>
      <c r="Q319" s="67"/>
      <c r="R319" s="68"/>
      <c r="S319" s="99"/>
      <c r="T319" s="65"/>
      <c r="U319" s="170">
        <v>0</v>
      </c>
      <c r="V319" s="48">
        <f t="shared" si="63"/>
        <v>0</v>
      </c>
      <c r="W319" s="171">
        <f t="shared" si="64"/>
        <v>0</v>
      </c>
      <c r="X319" s="69">
        <v>0</v>
      </c>
      <c r="Y319" s="48">
        <f t="shared" si="65"/>
        <v>0</v>
      </c>
      <c r="Z319" s="137">
        <f t="shared" si="66"/>
        <v>0</v>
      </c>
      <c r="AA319" s="69">
        <v>0</v>
      </c>
      <c r="AB319" s="48">
        <f t="shared" si="67"/>
        <v>0</v>
      </c>
      <c r="AC319" s="137">
        <f t="shared" si="68"/>
        <v>0</v>
      </c>
      <c r="AD319" s="70">
        <f t="shared" si="69"/>
        <v>0</v>
      </c>
      <c r="AE319" s="71">
        <f t="shared" si="70"/>
        <v>0</v>
      </c>
      <c r="AF319" s="193">
        <f t="shared" si="71"/>
        <v>0</v>
      </c>
      <c r="AG319" s="185">
        <f t="shared" si="72"/>
        <v>0</v>
      </c>
      <c r="AH319" s="180">
        <f t="shared" si="76"/>
        <v>0</v>
      </c>
      <c r="AI319" s="189">
        <v>258</v>
      </c>
      <c r="AJ319" s="125">
        <v>908.31830000000002</v>
      </c>
      <c r="AK319" s="149">
        <v>193</v>
      </c>
      <c r="AL319" s="221">
        <v>92</v>
      </c>
      <c r="AM319" s="216">
        <v>89.090909090909093</v>
      </c>
      <c r="AN319" s="213">
        <v>15.137614678899082</v>
      </c>
      <c r="AO319" s="127">
        <v>2.66</v>
      </c>
      <c r="AP319" s="133">
        <v>0.69</v>
      </c>
      <c r="AQ319" s="224">
        <f t="shared" si="73"/>
        <v>0.89895470383275267</v>
      </c>
      <c r="AR319" s="158">
        <v>287</v>
      </c>
      <c r="AS319" s="229">
        <f t="shared" si="74"/>
        <v>0.30714285714285716</v>
      </c>
      <c r="AT319" s="230">
        <v>840</v>
      </c>
      <c r="AU319" s="203">
        <v>15.891472868217054</v>
      </c>
      <c r="AV319" s="204">
        <v>63.565891472868216</v>
      </c>
      <c r="AW319" s="205">
        <v>20.54263565891473</v>
      </c>
      <c r="AX319" s="123">
        <v>5.5214999999999996</v>
      </c>
      <c r="AY319" s="281">
        <v>18.604651162790699</v>
      </c>
      <c r="AZ319" s="282">
        <v>33.720930232558139</v>
      </c>
      <c r="BA319" s="283">
        <f t="shared" si="75"/>
        <v>47.674418604651159</v>
      </c>
      <c r="BB319" s="234">
        <v>86.206896551724142</v>
      </c>
      <c r="BC319" s="120" t="s">
        <v>1811</v>
      </c>
      <c r="BD319" s="263" t="s">
        <v>556</v>
      </c>
      <c r="BE319" s="262" t="s">
        <v>557</v>
      </c>
      <c r="BF319" s="260" t="s">
        <v>557</v>
      </c>
      <c r="BG319" s="256">
        <v>0</v>
      </c>
      <c r="BH319" s="248" t="s">
        <v>556</v>
      </c>
      <c r="BI319" s="249">
        <v>21.363636363636363</v>
      </c>
      <c r="BJ319" s="309" t="s">
        <v>557</v>
      </c>
      <c r="BK319" s="307" t="s">
        <v>557</v>
      </c>
      <c r="BL319" s="319" t="s">
        <v>1728</v>
      </c>
      <c r="BM319" s="320" t="s">
        <v>556</v>
      </c>
      <c r="BN319" s="321" t="s">
        <v>1791</v>
      </c>
      <c r="BO319" s="145" t="s">
        <v>557</v>
      </c>
      <c r="BP319" s="14" t="s">
        <v>556</v>
      </c>
      <c r="BQ319" s="14" t="s">
        <v>557</v>
      </c>
      <c r="BR319" s="56"/>
    </row>
    <row r="320" spans="1:70" s="72" customFormat="1" ht="13.95" customHeight="1" x14ac:dyDescent="0.3">
      <c r="A320" s="56" t="s">
        <v>459</v>
      </c>
      <c r="B320" s="57" t="s">
        <v>462</v>
      </c>
      <c r="C320" s="55" t="s">
        <v>185</v>
      </c>
      <c r="D320" s="58">
        <v>1</v>
      </c>
      <c r="E320" s="59"/>
      <c r="F320" s="60" t="s">
        <v>453</v>
      </c>
      <c r="G320" s="61" t="s">
        <v>113</v>
      </c>
      <c r="H320" s="61" t="s">
        <v>114</v>
      </c>
      <c r="I320" s="62" t="s">
        <v>115</v>
      </c>
      <c r="J320" s="63" t="s">
        <v>2261</v>
      </c>
      <c r="K320" s="99"/>
      <c r="L320" s="130">
        <v>724179923</v>
      </c>
      <c r="M320" s="109" t="s">
        <v>564</v>
      </c>
      <c r="N320" s="12" t="s">
        <v>1147</v>
      </c>
      <c r="O320" s="100" t="s">
        <v>1148</v>
      </c>
      <c r="P320" s="131">
        <v>608405782</v>
      </c>
      <c r="Q320" s="67"/>
      <c r="R320" s="68"/>
      <c r="S320" s="99"/>
      <c r="T320" s="65"/>
      <c r="U320" s="170">
        <v>0</v>
      </c>
      <c r="V320" s="48">
        <f t="shared" si="63"/>
        <v>0</v>
      </c>
      <c r="W320" s="171">
        <f t="shared" si="64"/>
        <v>0</v>
      </c>
      <c r="X320" s="69">
        <v>0</v>
      </c>
      <c r="Y320" s="48">
        <f t="shared" si="65"/>
        <v>0</v>
      </c>
      <c r="Z320" s="137">
        <f t="shared" si="66"/>
        <v>0</v>
      </c>
      <c r="AA320" s="69">
        <v>0</v>
      </c>
      <c r="AB320" s="48">
        <f t="shared" si="67"/>
        <v>0</v>
      </c>
      <c r="AC320" s="137">
        <f t="shared" si="68"/>
        <v>0</v>
      </c>
      <c r="AD320" s="70">
        <f t="shared" si="69"/>
        <v>0</v>
      </c>
      <c r="AE320" s="71">
        <f t="shared" si="70"/>
        <v>0</v>
      </c>
      <c r="AF320" s="193">
        <f t="shared" si="71"/>
        <v>0</v>
      </c>
      <c r="AG320" s="185">
        <f t="shared" si="72"/>
        <v>0</v>
      </c>
      <c r="AH320" s="180">
        <f t="shared" si="76"/>
        <v>0</v>
      </c>
      <c r="AI320" s="189">
        <v>100</v>
      </c>
      <c r="AJ320" s="125">
        <v>159.04910000000001</v>
      </c>
      <c r="AK320" s="149">
        <v>50</v>
      </c>
      <c r="AL320" s="221">
        <v>32</v>
      </c>
      <c r="AM320" s="216">
        <v>100</v>
      </c>
      <c r="AN320" s="213">
        <v>18.18181818181818</v>
      </c>
      <c r="AO320" s="127">
        <v>0.65300000000000002</v>
      </c>
      <c r="AP320" s="133">
        <v>2.9000000000000001E-2</v>
      </c>
      <c r="AQ320" s="224">
        <f t="shared" si="73"/>
        <v>1.0416666666666667</v>
      </c>
      <c r="AR320" s="158">
        <v>96</v>
      </c>
      <c r="AS320" s="229">
        <f t="shared" si="74"/>
        <v>0.5494505494505495</v>
      </c>
      <c r="AT320" s="230">
        <v>182</v>
      </c>
      <c r="AU320" s="203">
        <v>11</v>
      </c>
      <c r="AV320" s="204">
        <v>72</v>
      </c>
      <c r="AW320" s="205">
        <v>17</v>
      </c>
      <c r="AX320" s="123">
        <v>5.6337999999999999</v>
      </c>
      <c r="AY320" s="281">
        <v>16.326530612244898</v>
      </c>
      <c r="AZ320" s="282">
        <v>46.938775510204081</v>
      </c>
      <c r="BA320" s="283">
        <f t="shared" si="75"/>
        <v>36.734693877551024</v>
      </c>
      <c r="BB320" s="234">
        <v>83.333333333333343</v>
      </c>
      <c r="BC320" s="120" t="s">
        <v>1811</v>
      </c>
      <c r="BD320" s="263" t="s">
        <v>556</v>
      </c>
      <c r="BE320" s="261" t="s">
        <v>556</v>
      </c>
      <c r="BF320" s="260" t="s">
        <v>557</v>
      </c>
      <c r="BG320" s="256">
        <v>23.809523809523807</v>
      </c>
      <c r="BH320" s="254" t="s">
        <v>557</v>
      </c>
      <c r="BI320" s="249">
        <v>0</v>
      </c>
      <c r="BJ320" s="309" t="s">
        <v>557</v>
      </c>
      <c r="BK320" s="307" t="s">
        <v>557</v>
      </c>
      <c r="BL320" s="319" t="s">
        <v>557</v>
      </c>
      <c r="BM320" s="320" t="s">
        <v>557</v>
      </c>
      <c r="BN320" s="321" t="s">
        <v>557</v>
      </c>
      <c r="BO320" s="145" t="s">
        <v>557</v>
      </c>
      <c r="BP320" s="14" t="s">
        <v>557</v>
      </c>
      <c r="BQ320" s="14" t="s">
        <v>557</v>
      </c>
    </row>
    <row r="321" spans="1:70" s="56" customFormat="1" ht="13.95" customHeight="1" x14ac:dyDescent="0.3">
      <c r="A321" s="56" t="s">
        <v>459</v>
      </c>
      <c r="B321" s="57" t="s">
        <v>462</v>
      </c>
      <c r="C321" s="55" t="s">
        <v>320</v>
      </c>
      <c r="D321" s="58">
        <v>2</v>
      </c>
      <c r="E321" s="59" t="s">
        <v>353</v>
      </c>
      <c r="F321" s="60" t="s">
        <v>455</v>
      </c>
      <c r="G321" s="61" t="s">
        <v>304</v>
      </c>
      <c r="H321" s="61" t="s">
        <v>304</v>
      </c>
      <c r="I321" s="62" t="s">
        <v>304</v>
      </c>
      <c r="J321" s="63" t="s">
        <v>2251</v>
      </c>
      <c r="K321" s="99" t="s">
        <v>1499</v>
      </c>
      <c r="L321" s="130">
        <v>494660345</v>
      </c>
      <c r="M321" s="109" t="s">
        <v>537</v>
      </c>
      <c r="N321" s="12" t="s">
        <v>1498</v>
      </c>
      <c r="O321" s="100"/>
      <c r="P321" s="131">
        <v>724179126</v>
      </c>
      <c r="Q321" s="84"/>
      <c r="S321" s="105"/>
      <c r="T321" s="112"/>
      <c r="U321" s="170">
        <f>54000+51955+565200</f>
        <v>671155</v>
      </c>
      <c r="V321" s="48">
        <f t="shared" si="63"/>
        <v>3036.9004524886877</v>
      </c>
      <c r="W321" s="171">
        <f t="shared" si="64"/>
        <v>353.20463655321572</v>
      </c>
      <c r="X321" s="69">
        <v>170000</v>
      </c>
      <c r="Y321" s="48">
        <f t="shared" si="65"/>
        <v>769.23076923076928</v>
      </c>
      <c r="Z321" s="137">
        <f t="shared" si="66"/>
        <v>89.464860150109402</v>
      </c>
      <c r="AA321" s="69">
        <v>400000</v>
      </c>
      <c r="AB321" s="48">
        <f t="shared" si="67"/>
        <v>1809.9547511312217</v>
      </c>
      <c r="AC321" s="137">
        <f t="shared" si="68"/>
        <v>210.50555329437506</v>
      </c>
      <c r="AD321" s="70">
        <f t="shared" si="69"/>
        <v>1241155</v>
      </c>
      <c r="AE321" s="71">
        <f t="shared" si="70"/>
        <v>5616.0859728506784</v>
      </c>
      <c r="AF321" s="193">
        <f t="shared" si="71"/>
        <v>653.17504999770017</v>
      </c>
      <c r="AG321" s="185">
        <f t="shared" si="72"/>
        <v>6.3340392957387082E-2</v>
      </c>
      <c r="AH321" s="180">
        <f t="shared" si="76"/>
        <v>0.2580363825363825</v>
      </c>
      <c r="AI321" s="189">
        <v>221</v>
      </c>
      <c r="AJ321" s="125">
        <v>1900.1874</v>
      </c>
      <c r="AK321" s="149">
        <v>259</v>
      </c>
      <c r="AL321" s="221">
        <v>57</v>
      </c>
      <c r="AM321" s="216">
        <v>66.25</v>
      </c>
      <c r="AN321" s="213">
        <v>24.806201550387595</v>
      </c>
      <c r="AO321" s="127">
        <v>3.919</v>
      </c>
      <c r="AP321" s="133">
        <v>0.96199999999999997</v>
      </c>
      <c r="AQ321" s="224">
        <f t="shared" si="73"/>
        <v>0.70158730158730154</v>
      </c>
      <c r="AR321" s="158">
        <v>315</v>
      </c>
      <c r="AS321" s="229">
        <f t="shared" si="74"/>
        <v>0.19385964912280701</v>
      </c>
      <c r="AT321" s="230">
        <v>1140</v>
      </c>
      <c r="AU321" s="203">
        <v>15.384615384615385</v>
      </c>
      <c r="AV321" s="204">
        <v>65.158371040723978</v>
      </c>
      <c r="AW321" s="205">
        <v>19.457013574660635</v>
      </c>
      <c r="AX321" s="123">
        <v>1.8868</v>
      </c>
      <c r="AY321" s="281">
        <v>8.3333333333333321</v>
      </c>
      <c r="AZ321" s="282">
        <v>30.952380952380953</v>
      </c>
      <c r="BA321" s="283">
        <f t="shared" si="75"/>
        <v>60.714285714285722</v>
      </c>
      <c r="BB321" s="234">
        <v>43.13725490196078</v>
      </c>
      <c r="BC321" s="20">
        <v>2014</v>
      </c>
      <c r="BD321" s="263" t="s">
        <v>556</v>
      </c>
      <c r="BE321" s="262" t="s">
        <v>557</v>
      </c>
      <c r="BF321" s="260" t="s">
        <v>557</v>
      </c>
      <c r="BG321" s="256">
        <v>0</v>
      </c>
      <c r="BH321" s="254" t="s">
        <v>557</v>
      </c>
      <c r="BI321" s="249">
        <v>0</v>
      </c>
      <c r="BJ321" s="309" t="s">
        <v>557</v>
      </c>
      <c r="BK321" s="307" t="s">
        <v>557</v>
      </c>
      <c r="BL321" s="319" t="s">
        <v>1728</v>
      </c>
      <c r="BM321" s="320" t="s">
        <v>556</v>
      </c>
      <c r="BN321" s="321" t="s">
        <v>1957</v>
      </c>
      <c r="BO321" s="145" t="s">
        <v>556</v>
      </c>
      <c r="BP321" s="14" t="s">
        <v>556</v>
      </c>
      <c r="BQ321" s="14" t="s">
        <v>557</v>
      </c>
    </row>
    <row r="322" spans="1:70" s="56" customFormat="1" ht="13.95" customHeight="1" x14ac:dyDescent="0.3">
      <c r="A322" s="56" t="s">
        <v>459</v>
      </c>
      <c r="B322" s="57" t="s">
        <v>462</v>
      </c>
      <c r="C322" s="55" t="s">
        <v>186</v>
      </c>
      <c r="D322" s="58">
        <v>1</v>
      </c>
      <c r="E322" s="59"/>
      <c r="F322" s="60" t="s">
        <v>453</v>
      </c>
      <c r="G322" s="61" t="s">
        <v>113</v>
      </c>
      <c r="H322" s="61" t="s">
        <v>113</v>
      </c>
      <c r="I322" s="62" t="s">
        <v>156</v>
      </c>
      <c r="J322" s="63" t="s">
        <v>2263</v>
      </c>
      <c r="K322" s="99" t="s">
        <v>2262</v>
      </c>
      <c r="L322" s="130">
        <v>493595141</v>
      </c>
      <c r="M322" s="109" t="s">
        <v>564</v>
      </c>
      <c r="N322" s="12" t="s">
        <v>1149</v>
      </c>
      <c r="O322" s="100" t="s">
        <v>1150</v>
      </c>
      <c r="P322" s="131">
        <v>603897520</v>
      </c>
      <c r="Q322" s="67"/>
      <c r="R322" s="68"/>
      <c r="S322" s="99"/>
      <c r="T322" s="65"/>
      <c r="U322" s="170">
        <v>0</v>
      </c>
      <c r="V322" s="48">
        <f t="shared" si="63"/>
        <v>0</v>
      </c>
      <c r="W322" s="171">
        <f t="shared" si="64"/>
        <v>0</v>
      </c>
      <c r="X322" s="69">
        <v>0</v>
      </c>
      <c r="Y322" s="48">
        <f t="shared" si="65"/>
        <v>0</v>
      </c>
      <c r="Z322" s="137">
        <f t="shared" si="66"/>
        <v>0</v>
      </c>
      <c r="AA322" s="69">
        <v>0</v>
      </c>
      <c r="AB322" s="48">
        <f t="shared" si="67"/>
        <v>0</v>
      </c>
      <c r="AC322" s="137">
        <f t="shared" si="68"/>
        <v>0</v>
      </c>
      <c r="AD322" s="70">
        <f t="shared" si="69"/>
        <v>0</v>
      </c>
      <c r="AE322" s="71">
        <f t="shared" si="70"/>
        <v>0</v>
      </c>
      <c r="AF322" s="193">
        <f t="shared" si="71"/>
        <v>0</v>
      </c>
      <c r="AG322" s="185">
        <f t="shared" si="72"/>
        <v>0</v>
      </c>
      <c r="AH322" s="180">
        <f t="shared" si="76"/>
        <v>0</v>
      </c>
      <c r="AI322" s="189">
        <v>115</v>
      </c>
      <c r="AJ322" s="125">
        <v>319.16969999999998</v>
      </c>
      <c r="AK322" s="149">
        <v>97</v>
      </c>
      <c r="AL322" s="221">
        <v>39</v>
      </c>
      <c r="AM322" s="216">
        <v>97.777777777777771</v>
      </c>
      <c r="AN322" s="213">
        <v>1.0101010101010102</v>
      </c>
      <c r="AO322" s="127">
        <v>2.0760000000000001</v>
      </c>
      <c r="AP322" s="133">
        <v>0.54900000000000004</v>
      </c>
      <c r="AQ322" s="224">
        <f t="shared" si="73"/>
        <v>0.8214285714285714</v>
      </c>
      <c r="AR322" s="158">
        <v>140</v>
      </c>
      <c r="AS322" s="229">
        <f t="shared" si="74"/>
        <v>0.31593406593406592</v>
      </c>
      <c r="AT322" s="230">
        <v>364</v>
      </c>
      <c r="AU322" s="203">
        <v>10.434782608695652</v>
      </c>
      <c r="AV322" s="204">
        <v>60.869565217391298</v>
      </c>
      <c r="AW322" s="205">
        <v>28.695652173913043</v>
      </c>
      <c r="AX322" s="123">
        <v>1.3889</v>
      </c>
      <c r="AY322" s="281">
        <v>10.869565217391305</v>
      </c>
      <c r="AZ322" s="282">
        <v>34.782608695652172</v>
      </c>
      <c r="BA322" s="283">
        <f t="shared" si="75"/>
        <v>54.347826086956516</v>
      </c>
      <c r="BB322" s="234">
        <v>100</v>
      </c>
      <c r="BC322" s="120" t="s">
        <v>1811</v>
      </c>
      <c r="BD322" s="263" t="s">
        <v>556</v>
      </c>
      <c r="BE322" s="261" t="s">
        <v>556</v>
      </c>
      <c r="BF322" s="260" t="s">
        <v>557</v>
      </c>
      <c r="BG322" s="256">
        <v>21.495327102803738</v>
      </c>
      <c r="BH322" s="248" t="s">
        <v>556</v>
      </c>
      <c r="BI322" s="249">
        <v>14.736842105263156</v>
      </c>
      <c r="BJ322" s="309" t="s">
        <v>557</v>
      </c>
      <c r="BK322" s="307" t="s">
        <v>557</v>
      </c>
      <c r="BL322" s="319" t="s">
        <v>1728</v>
      </c>
      <c r="BM322" s="320" t="s">
        <v>556</v>
      </c>
      <c r="BN322" s="321" t="s">
        <v>557</v>
      </c>
      <c r="BO322" s="145" t="s">
        <v>557</v>
      </c>
      <c r="BP322" s="14" t="s">
        <v>557</v>
      </c>
      <c r="BQ322" s="14" t="s">
        <v>557</v>
      </c>
      <c r="BR322" s="72"/>
    </row>
    <row r="323" spans="1:70" s="56" customFormat="1" ht="13.95" customHeight="1" x14ac:dyDescent="0.3">
      <c r="A323" s="56" t="s">
        <v>459</v>
      </c>
      <c r="B323" s="57" t="s">
        <v>462</v>
      </c>
      <c r="C323" s="55" t="s">
        <v>362</v>
      </c>
      <c r="D323" s="58">
        <v>2</v>
      </c>
      <c r="E323" s="59" t="s">
        <v>707</v>
      </c>
      <c r="F323" s="60" t="s">
        <v>455</v>
      </c>
      <c r="G323" s="61" t="s">
        <v>304</v>
      </c>
      <c r="H323" s="61" t="s">
        <v>38</v>
      </c>
      <c r="I323" s="62" t="s">
        <v>38</v>
      </c>
      <c r="J323" s="63" t="s">
        <v>2252</v>
      </c>
      <c r="K323" s="99" t="s">
        <v>1501</v>
      </c>
      <c r="L323" s="130">
        <v>494668241</v>
      </c>
      <c r="M323" s="109" t="s">
        <v>564</v>
      </c>
      <c r="N323" s="12" t="s">
        <v>1500</v>
      </c>
      <c r="O323" s="100"/>
      <c r="P323" s="131">
        <v>602106616</v>
      </c>
      <c r="Q323" s="84"/>
      <c r="S323" s="105"/>
      <c r="T323" s="112"/>
      <c r="U323" s="170">
        <f>258000+167072</f>
        <v>425072</v>
      </c>
      <c r="V323" s="48">
        <f t="shared" si="63"/>
        <v>1029.230024213075</v>
      </c>
      <c r="W323" s="171">
        <f t="shared" si="64"/>
        <v>547.48802234712286</v>
      </c>
      <c r="X323" s="69">
        <v>336000</v>
      </c>
      <c r="Y323" s="48">
        <f t="shared" si="65"/>
        <v>813.5593220338983</v>
      </c>
      <c r="Z323" s="137">
        <f t="shared" si="66"/>
        <v>432.76427407270597</v>
      </c>
      <c r="AA323" s="69">
        <v>0</v>
      </c>
      <c r="AB323" s="48">
        <f t="shared" si="67"/>
        <v>0</v>
      </c>
      <c r="AC323" s="137">
        <f t="shared" si="68"/>
        <v>0</v>
      </c>
      <c r="AD323" s="70">
        <f t="shared" si="69"/>
        <v>761072</v>
      </c>
      <c r="AE323" s="71">
        <f t="shared" si="70"/>
        <v>1842.7893462469733</v>
      </c>
      <c r="AF323" s="193">
        <f t="shared" si="71"/>
        <v>980.25229641982878</v>
      </c>
      <c r="AG323" s="185">
        <f t="shared" si="72"/>
        <v>1.7964640623155906E-2</v>
      </c>
      <c r="AH323" s="180">
        <f t="shared" si="76"/>
        <v>2.7715659140568095E-2</v>
      </c>
      <c r="AI323" s="189">
        <v>413</v>
      </c>
      <c r="AJ323" s="125">
        <v>776.40419999999995</v>
      </c>
      <c r="AK323" s="149">
        <v>188</v>
      </c>
      <c r="AL323" s="221">
        <v>124</v>
      </c>
      <c r="AM323" s="216">
        <v>93.793103448275858</v>
      </c>
      <c r="AN323" s="213">
        <v>5.1813471502590671</v>
      </c>
      <c r="AO323" s="127">
        <v>8.4730000000000008</v>
      </c>
      <c r="AP323" s="133">
        <v>5.492</v>
      </c>
      <c r="AQ323" s="224">
        <f t="shared" si="73"/>
        <v>1.1162162162162161</v>
      </c>
      <c r="AR323" s="158">
        <v>370</v>
      </c>
      <c r="AS323" s="229">
        <f t="shared" si="74"/>
        <v>0.5883190883190883</v>
      </c>
      <c r="AT323" s="230">
        <v>702</v>
      </c>
      <c r="AU323" s="203">
        <v>17.191283292978206</v>
      </c>
      <c r="AV323" s="204">
        <v>67.554479418886203</v>
      </c>
      <c r="AW323" s="205">
        <v>15.254237288135593</v>
      </c>
      <c r="AX323" s="123">
        <v>1.476</v>
      </c>
      <c r="AY323" s="281">
        <v>4.395604395604396</v>
      </c>
      <c r="AZ323" s="282">
        <v>44.505494505494504</v>
      </c>
      <c r="BA323" s="283">
        <f t="shared" si="75"/>
        <v>51.098901098901102</v>
      </c>
      <c r="BB323" s="234">
        <v>67.676767676767682</v>
      </c>
      <c r="BC323" s="20">
        <v>1998</v>
      </c>
      <c r="BD323" s="263" t="s">
        <v>556</v>
      </c>
      <c r="BE323" s="261" t="s">
        <v>556</v>
      </c>
      <c r="BF323" s="260" t="s">
        <v>557</v>
      </c>
      <c r="BG323" s="256">
        <v>2.6315789473684208</v>
      </c>
      <c r="BH323" s="254" t="s">
        <v>557</v>
      </c>
      <c r="BI323" s="249">
        <v>0</v>
      </c>
      <c r="BJ323" s="309" t="s">
        <v>557</v>
      </c>
      <c r="BK323" s="307" t="s">
        <v>557</v>
      </c>
      <c r="BL323" s="319" t="s">
        <v>1728</v>
      </c>
      <c r="BM323" s="320" t="s">
        <v>556</v>
      </c>
      <c r="BN323" s="321" t="s">
        <v>1838</v>
      </c>
      <c r="BO323" s="145" t="s">
        <v>557</v>
      </c>
      <c r="BP323" s="14" t="s">
        <v>556</v>
      </c>
      <c r="BQ323" s="14" t="s">
        <v>557</v>
      </c>
      <c r="BR323" s="3"/>
    </row>
    <row r="324" spans="1:70" s="56" customFormat="1" ht="13.95" customHeight="1" x14ac:dyDescent="0.3">
      <c r="A324" s="56" t="s">
        <v>459</v>
      </c>
      <c r="B324" s="57" t="s">
        <v>462</v>
      </c>
      <c r="C324" s="55" t="s">
        <v>275</v>
      </c>
      <c r="D324" s="58">
        <v>1</v>
      </c>
      <c r="E324" s="59"/>
      <c r="F324" s="60" t="s">
        <v>454</v>
      </c>
      <c r="G324" s="61" t="s">
        <v>526</v>
      </c>
      <c r="H324" s="61" t="s">
        <v>526</v>
      </c>
      <c r="I324" s="62" t="s">
        <v>526</v>
      </c>
      <c r="J324" s="63" t="s">
        <v>2253</v>
      </c>
      <c r="K324" s="99" t="s">
        <v>1349</v>
      </c>
      <c r="L324" s="130">
        <v>491478123</v>
      </c>
      <c r="M324" s="109" t="s">
        <v>564</v>
      </c>
      <c r="N324" s="12" t="s">
        <v>1348</v>
      </c>
      <c r="O324" s="100"/>
      <c r="P324" s="131">
        <v>737048919</v>
      </c>
      <c r="Q324" s="67"/>
      <c r="R324" s="68"/>
      <c r="S324" s="99"/>
      <c r="T324" s="65"/>
      <c r="U324" s="170">
        <v>0</v>
      </c>
      <c r="V324" s="48">
        <f t="shared" si="63"/>
        <v>0</v>
      </c>
      <c r="W324" s="171">
        <f t="shared" si="64"/>
        <v>0</v>
      </c>
      <c r="X324" s="69">
        <v>0</v>
      </c>
      <c r="Y324" s="48">
        <f t="shared" si="65"/>
        <v>0</v>
      </c>
      <c r="Z324" s="137">
        <f t="shared" si="66"/>
        <v>0</v>
      </c>
      <c r="AA324" s="69">
        <v>0</v>
      </c>
      <c r="AB324" s="48">
        <f t="shared" si="67"/>
        <v>0</v>
      </c>
      <c r="AC324" s="137">
        <f t="shared" si="68"/>
        <v>0</v>
      </c>
      <c r="AD324" s="70">
        <f t="shared" si="69"/>
        <v>0</v>
      </c>
      <c r="AE324" s="71">
        <f t="shared" si="70"/>
        <v>0</v>
      </c>
      <c r="AF324" s="193">
        <f t="shared" si="71"/>
        <v>0</v>
      </c>
      <c r="AG324" s="185">
        <f t="shared" si="72"/>
        <v>0</v>
      </c>
      <c r="AH324" s="180">
        <f t="shared" si="76"/>
        <v>0</v>
      </c>
      <c r="AI324" s="189">
        <v>101</v>
      </c>
      <c r="AJ324" s="125">
        <v>184.18209999999999</v>
      </c>
      <c r="AK324" s="149">
        <v>46</v>
      </c>
      <c r="AL324" s="221">
        <v>28</v>
      </c>
      <c r="AM324" s="216">
        <v>100</v>
      </c>
      <c r="AN324" s="213">
        <v>19.607843137254903</v>
      </c>
      <c r="AO324" s="127">
        <v>0.63</v>
      </c>
      <c r="AP324" s="133">
        <v>0.158</v>
      </c>
      <c r="AQ324" s="224">
        <f t="shared" si="73"/>
        <v>1.2023809523809523</v>
      </c>
      <c r="AR324" s="158">
        <v>84</v>
      </c>
      <c r="AS324" s="229">
        <f t="shared" si="74"/>
        <v>0.67785234899328861</v>
      </c>
      <c r="AT324" s="230">
        <v>149</v>
      </c>
      <c r="AU324" s="203">
        <v>14.85148514851485</v>
      </c>
      <c r="AV324" s="204">
        <v>67.32673267326733</v>
      </c>
      <c r="AW324" s="205">
        <v>17.82178217821782</v>
      </c>
      <c r="AX324" s="123">
        <v>4.4118000000000004</v>
      </c>
      <c r="AY324" s="281">
        <v>2.1739130434782608</v>
      </c>
      <c r="AZ324" s="282">
        <v>47.826086956521742</v>
      </c>
      <c r="BA324" s="283">
        <f t="shared" si="75"/>
        <v>49.999999999999993</v>
      </c>
      <c r="BB324" s="234">
        <v>100</v>
      </c>
      <c r="BC324" s="20" t="s">
        <v>557</v>
      </c>
      <c r="BD324" s="263" t="s">
        <v>556</v>
      </c>
      <c r="BE324" s="261" t="s">
        <v>556</v>
      </c>
      <c r="BF324" s="259" t="s">
        <v>556</v>
      </c>
      <c r="BG324" s="256">
        <v>11.363636363636363</v>
      </c>
      <c r="BH324" s="254" t="s">
        <v>557</v>
      </c>
      <c r="BI324" s="249">
        <v>0</v>
      </c>
      <c r="BJ324" s="309" t="s">
        <v>557</v>
      </c>
      <c r="BK324" s="307" t="s">
        <v>557</v>
      </c>
      <c r="BL324" s="319" t="s">
        <v>1728</v>
      </c>
      <c r="BM324" s="320" t="s">
        <v>557</v>
      </c>
      <c r="BN324" s="321" t="s">
        <v>1838</v>
      </c>
      <c r="BO324" s="145" t="s">
        <v>557</v>
      </c>
      <c r="BP324" s="14" t="s">
        <v>557</v>
      </c>
      <c r="BQ324" s="14" t="s">
        <v>557</v>
      </c>
      <c r="BR324" s="3"/>
    </row>
    <row r="325" spans="1:70" s="72" customFormat="1" ht="13.95" customHeight="1" x14ac:dyDescent="0.3">
      <c r="A325" s="56" t="s">
        <v>459</v>
      </c>
      <c r="B325" s="57" t="s">
        <v>462</v>
      </c>
      <c r="C325" s="55" t="s">
        <v>87</v>
      </c>
      <c r="D325" s="58">
        <v>1</v>
      </c>
      <c r="E325" s="59"/>
      <c r="F325" s="60" t="s">
        <v>452</v>
      </c>
      <c r="G325" s="61" t="s">
        <v>11</v>
      </c>
      <c r="H325" s="61" t="s">
        <v>13</v>
      </c>
      <c r="I325" s="62" t="s">
        <v>13</v>
      </c>
      <c r="J325" s="63" t="s">
        <v>2254</v>
      </c>
      <c r="K325" s="99" t="s">
        <v>948</v>
      </c>
      <c r="L325" s="130">
        <v>495426210</v>
      </c>
      <c r="M325" s="109" t="s">
        <v>564</v>
      </c>
      <c r="N325" s="12" t="s">
        <v>947</v>
      </c>
      <c r="O325" s="100"/>
      <c r="P325" s="131"/>
      <c r="Q325" s="67"/>
      <c r="R325" s="68"/>
      <c r="S325" s="99"/>
      <c r="T325" s="65"/>
      <c r="U325" s="170">
        <v>0</v>
      </c>
      <c r="V325" s="48">
        <f t="shared" si="63"/>
        <v>0</v>
      </c>
      <c r="W325" s="171">
        <f t="shared" si="64"/>
        <v>0</v>
      </c>
      <c r="X325" s="69">
        <v>0</v>
      </c>
      <c r="Y325" s="48">
        <f t="shared" si="65"/>
        <v>0</v>
      </c>
      <c r="Z325" s="137">
        <f t="shared" si="66"/>
        <v>0</v>
      </c>
      <c r="AA325" s="69">
        <v>0</v>
      </c>
      <c r="AB325" s="48">
        <f t="shared" si="67"/>
        <v>0</v>
      </c>
      <c r="AC325" s="137">
        <f t="shared" si="68"/>
        <v>0</v>
      </c>
      <c r="AD325" s="70">
        <f t="shared" si="69"/>
        <v>0</v>
      </c>
      <c r="AE325" s="71">
        <f t="shared" si="70"/>
        <v>0</v>
      </c>
      <c r="AF325" s="193">
        <f t="shared" si="71"/>
        <v>0</v>
      </c>
      <c r="AG325" s="185">
        <f t="shared" si="72"/>
        <v>0</v>
      </c>
      <c r="AH325" s="180">
        <f t="shared" si="76"/>
        <v>0</v>
      </c>
      <c r="AI325" s="189">
        <v>424</v>
      </c>
      <c r="AJ325" s="125">
        <v>500.8492</v>
      </c>
      <c r="AK325" s="149">
        <v>152</v>
      </c>
      <c r="AL325" s="221">
        <v>112</v>
      </c>
      <c r="AM325" s="216">
        <v>93.525179856115102</v>
      </c>
      <c r="AN325" s="213">
        <v>1.2578616352201257</v>
      </c>
      <c r="AO325" s="127">
        <v>4.4580000000000002</v>
      </c>
      <c r="AP325" s="133">
        <v>0.121</v>
      </c>
      <c r="AQ325" s="224">
        <f t="shared" si="73"/>
        <v>1.3947368421052631</v>
      </c>
      <c r="AR325" s="158">
        <v>304</v>
      </c>
      <c r="AS325" s="229">
        <f t="shared" si="74"/>
        <v>0.73356401384083048</v>
      </c>
      <c r="AT325" s="230">
        <v>578</v>
      </c>
      <c r="AU325" s="203">
        <v>16.745283018867923</v>
      </c>
      <c r="AV325" s="204">
        <v>68.632075471698116</v>
      </c>
      <c r="AW325" s="205">
        <v>14.622641509433961</v>
      </c>
      <c r="AX325" s="123">
        <v>4.0815999999999999</v>
      </c>
      <c r="AY325" s="281">
        <v>5.5837563451776653</v>
      </c>
      <c r="AZ325" s="282">
        <v>25.888324873096447</v>
      </c>
      <c r="BA325" s="283">
        <f t="shared" si="75"/>
        <v>68.527918781725887</v>
      </c>
      <c r="BB325" s="234">
        <v>97.247706422018339</v>
      </c>
      <c r="BC325" s="20">
        <v>2015</v>
      </c>
      <c r="BD325" s="263" t="s">
        <v>556</v>
      </c>
      <c r="BE325" s="262" t="s">
        <v>557</v>
      </c>
      <c r="BF325" s="260" t="s">
        <v>557</v>
      </c>
      <c r="BG325" s="256">
        <v>0</v>
      </c>
      <c r="BH325" s="248" t="s">
        <v>556</v>
      </c>
      <c r="BI325" s="249">
        <v>53.367875647668392</v>
      </c>
      <c r="BJ325" s="309" t="s">
        <v>557</v>
      </c>
      <c r="BK325" s="307" t="s">
        <v>557</v>
      </c>
      <c r="BL325" s="319" t="s">
        <v>1728</v>
      </c>
      <c r="BM325" s="320" t="s">
        <v>556</v>
      </c>
      <c r="BN325" s="321" t="s">
        <v>1838</v>
      </c>
      <c r="BO325" s="145" t="s">
        <v>557</v>
      </c>
      <c r="BP325" s="14" t="s">
        <v>556</v>
      </c>
      <c r="BQ325" s="14" t="s">
        <v>557</v>
      </c>
    </row>
    <row r="326" spans="1:70" s="72" customFormat="1" ht="13.95" customHeight="1" x14ac:dyDescent="0.3">
      <c r="A326" s="56" t="s">
        <v>459</v>
      </c>
      <c r="B326" s="57" t="s">
        <v>462</v>
      </c>
      <c r="C326" s="55" t="s">
        <v>88</v>
      </c>
      <c r="D326" s="58">
        <v>3</v>
      </c>
      <c r="E326" s="59" t="s">
        <v>488</v>
      </c>
      <c r="F326" s="60" t="s">
        <v>452</v>
      </c>
      <c r="G326" s="61" t="s">
        <v>11</v>
      </c>
      <c r="H326" s="61" t="s">
        <v>13</v>
      </c>
      <c r="I326" s="62" t="s">
        <v>13</v>
      </c>
      <c r="J326" s="63" t="s">
        <v>2264</v>
      </c>
      <c r="K326" s="99" t="s">
        <v>949</v>
      </c>
      <c r="L326" s="130">
        <v>495422721</v>
      </c>
      <c r="M326" s="109" t="s">
        <v>564</v>
      </c>
      <c r="N326" s="12" t="s">
        <v>950</v>
      </c>
      <c r="O326" s="100"/>
      <c r="P326" s="131">
        <v>607595486</v>
      </c>
      <c r="Q326" s="67"/>
      <c r="R326" s="68"/>
      <c r="S326" s="99"/>
      <c r="T326" s="65"/>
      <c r="U326" s="170">
        <v>503000</v>
      </c>
      <c r="V326" s="48">
        <f t="shared" ref="V326:V389" si="77">IF(U326=0,0,U326/AI326)</f>
        <v>832.78145695364242</v>
      </c>
      <c r="W326" s="171">
        <f t="shared" ref="W326:W389" si="78">IF(U326=0,0,U326/AJ326)</f>
        <v>606.20157467788761</v>
      </c>
      <c r="X326" s="69">
        <v>8020</v>
      </c>
      <c r="Y326" s="48">
        <f t="shared" ref="Y326:Y389" si="79">IF(X326=0,0,X326/AI326)</f>
        <v>13.278145695364238</v>
      </c>
      <c r="Z326" s="137">
        <f t="shared" ref="Z326:Z389" si="80">IF(X326=0,0,X326/AJ326)</f>
        <v>9.6654803755798397</v>
      </c>
      <c r="AA326" s="69">
        <v>0</v>
      </c>
      <c r="AB326" s="48">
        <f t="shared" ref="AB326:AB389" si="81">IF(AA326=0,0,AA326/AI326)</f>
        <v>0</v>
      </c>
      <c r="AC326" s="137">
        <f t="shared" ref="AC326:AC389" si="82">IF(AA326=0,0,AA326/AJ326)</f>
        <v>0</v>
      </c>
      <c r="AD326" s="70">
        <f t="shared" ref="AD326:AD389" si="83">IF(U326+X326+AA326=0,0,U326+X326+AA326)</f>
        <v>511020</v>
      </c>
      <c r="AE326" s="71">
        <f t="shared" ref="AE326:AE389" si="84">IF(AD326=0,0,AD326/AI326)</f>
        <v>846.05960264900659</v>
      </c>
      <c r="AF326" s="193">
        <f t="shared" ref="AF326:AF389" si="85">IF(AD326=0,0,AD326/AJ326)</f>
        <v>615.86705505346754</v>
      </c>
      <c r="AG326" s="185">
        <f t="shared" ref="AG326:AG389" si="86">IF(AD326=0,0,1/(AO326*5000000/AD326))</f>
        <v>1.8073209549071618E-2</v>
      </c>
      <c r="AH326" s="180">
        <f t="shared" si="76"/>
        <v>0.11884186046511629</v>
      </c>
      <c r="AI326" s="189">
        <v>604</v>
      </c>
      <c r="AJ326" s="125">
        <v>829.75699999999995</v>
      </c>
      <c r="AK326" s="149">
        <v>238</v>
      </c>
      <c r="AL326" s="221">
        <v>171</v>
      </c>
      <c r="AM326" s="216">
        <v>89.237668161434982</v>
      </c>
      <c r="AN326" s="213">
        <v>2.9090909090909092</v>
      </c>
      <c r="AO326" s="127">
        <v>5.6550000000000002</v>
      </c>
      <c r="AP326" s="133">
        <v>0.86</v>
      </c>
      <c r="AQ326" s="224">
        <f t="shared" ref="AQ326:AQ389" si="87">AI326/AR326</f>
        <v>1.1705426356589148</v>
      </c>
      <c r="AR326" s="158">
        <v>516</v>
      </c>
      <c r="AS326" s="229">
        <f t="shared" ref="AS326:AS389" si="88">AI326/AT326</f>
        <v>0.76455696202531642</v>
      </c>
      <c r="AT326" s="230">
        <v>790</v>
      </c>
      <c r="AU326" s="203">
        <v>16.721854304635762</v>
      </c>
      <c r="AV326" s="204">
        <v>70.529801324503296</v>
      </c>
      <c r="AW326" s="205">
        <v>12.748344370860929</v>
      </c>
      <c r="AX326" s="123">
        <v>5.9665999999999997</v>
      </c>
      <c r="AY326" s="281">
        <v>3.2846715328467155</v>
      </c>
      <c r="AZ326" s="282">
        <v>27.007299270072991</v>
      </c>
      <c r="BA326" s="283">
        <f t="shared" ref="BA326:BA389" si="89">100-AY326-AZ326</f>
        <v>69.708029197080293</v>
      </c>
      <c r="BB326" s="234">
        <v>89.542483660130713</v>
      </c>
      <c r="BC326" s="20">
        <v>2006</v>
      </c>
      <c r="BD326" s="263" t="s">
        <v>556</v>
      </c>
      <c r="BE326" s="261" t="s">
        <v>556</v>
      </c>
      <c r="BF326" s="260" t="s">
        <v>557</v>
      </c>
      <c r="BG326" s="256">
        <v>16.577540106951872</v>
      </c>
      <c r="BH326" s="248" t="s">
        <v>556</v>
      </c>
      <c r="BI326" s="249">
        <v>73.484848484848484</v>
      </c>
      <c r="BJ326" s="308" t="s">
        <v>556</v>
      </c>
      <c r="BK326" s="307" t="s">
        <v>557</v>
      </c>
      <c r="BL326" s="319" t="s">
        <v>1728</v>
      </c>
      <c r="BM326" s="320" t="s">
        <v>556</v>
      </c>
      <c r="BN326" s="321" t="s">
        <v>1791</v>
      </c>
      <c r="BO326" s="145" t="s">
        <v>557</v>
      </c>
      <c r="BP326" s="14" t="s">
        <v>556</v>
      </c>
      <c r="BQ326" s="14" t="s">
        <v>557</v>
      </c>
      <c r="BR326" s="56"/>
    </row>
    <row r="327" spans="1:70" s="56" customFormat="1" ht="13.95" customHeight="1" x14ac:dyDescent="0.3">
      <c r="A327" s="56" t="s">
        <v>459</v>
      </c>
      <c r="B327" s="57" t="s">
        <v>462</v>
      </c>
      <c r="C327" s="55" t="s">
        <v>89</v>
      </c>
      <c r="D327" s="58">
        <v>1</v>
      </c>
      <c r="E327" s="59"/>
      <c r="F327" s="60" t="s">
        <v>452</v>
      </c>
      <c r="G327" s="61" t="s">
        <v>7</v>
      </c>
      <c r="H327" s="61" t="s">
        <v>7</v>
      </c>
      <c r="I327" s="62" t="s">
        <v>7</v>
      </c>
      <c r="J327" s="63" t="s">
        <v>2255</v>
      </c>
      <c r="K327" s="99" t="s">
        <v>2265</v>
      </c>
      <c r="L327" s="130">
        <v>495491318</v>
      </c>
      <c r="M327" s="109" t="s">
        <v>537</v>
      </c>
      <c r="N327" s="12" t="s">
        <v>951</v>
      </c>
      <c r="O327" s="100"/>
      <c r="P327" s="131">
        <v>724183720</v>
      </c>
      <c r="Q327" s="67"/>
      <c r="R327" s="68"/>
      <c r="S327" s="99"/>
      <c r="T327" s="65"/>
      <c r="U327" s="170">
        <v>238000</v>
      </c>
      <c r="V327" s="48">
        <f t="shared" si="77"/>
        <v>224.31668237511781</v>
      </c>
      <c r="W327" s="171">
        <f t="shared" si="78"/>
        <v>365.29119694260481</v>
      </c>
      <c r="X327" s="69">
        <f>360600+14000</f>
        <v>374600</v>
      </c>
      <c r="Y327" s="48">
        <f t="shared" si="79"/>
        <v>353.06314797360983</v>
      </c>
      <c r="Z327" s="137">
        <f t="shared" si="80"/>
        <v>574.94992594411656</v>
      </c>
      <c r="AA327" s="69">
        <v>0</v>
      </c>
      <c r="AB327" s="48">
        <f t="shared" si="81"/>
        <v>0</v>
      </c>
      <c r="AC327" s="137">
        <f t="shared" si="82"/>
        <v>0</v>
      </c>
      <c r="AD327" s="70">
        <f t="shared" si="83"/>
        <v>612600</v>
      </c>
      <c r="AE327" s="71">
        <f t="shared" si="84"/>
        <v>577.37983034872764</v>
      </c>
      <c r="AF327" s="193">
        <f t="shared" si="85"/>
        <v>940.24112288672143</v>
      </c>
      <c r="AG327" s="185">
        <f t="shared" si="86"/>
        <v>7.9357471338817286E-3</v>
      </c>
      <c r="AH327" s="180">
        <f t="shared" si="76"/>
        <v>2.3130073626581083E-2</v>
      </c>
      <c r="AI327" s="189">
        <v>1061</v>
      </c>
      <c r="AJ327" s="125">
        <v>651.53499999999997</v>
      </c>
      <c r="AK327" s="149">
        <v>313</v>
      </c>
      <c r="AL327" s="221">
        <v>228</v>
      </c>
      <c r="AM327" s="216">
        <v>63.188405797101453</v>
      </c>
      <c r="AN327" s="213">
        <v>9.67741935483871</v>
      </c>
      <c r="AO327" s="127">
        <v>15.439</v>
      </c>
      <c r="AP327" s="133">
        <v>5.2969999999999997</v>
      </c>
      <c r="AQ327" s="224">
        <f t="shared" si="87"/>
        <v>1.1457883369330453</v>
      </c>
      <c r="AR327" s="158">
        <v>926</v>
      </c>
      <c r="AS327" s="229">
        <f t="shared" si="88"/>
        <v>0.8515248796147673</v>
      </c>
      <c r="AT327" s="230">
        <v>1246</v>
      </c>
      <c r="AU327" s="203">
        <v>14.326107445805844</v>
      </c>
      <c r="AV327" s="204">
        <v>70.028275212064088</v>
      </c>
      <c r="AW327" s="205">
        <v>15.645617342130066</v>
      </c>
      <c r="AX327" s="123">
        <v>6.6037999999999997</v>
      </c>
      <c r="AY327" s="281">
        <v>1.937046004842615</v>
      </c>
      <c r="AZ327" s="282">
        <v>43.583535108958834</v>
      </c>
      <c r="BA327" s="283">
        <f t="shared" si="89"/>
        <v>54.479418886198552</v>
      </c>
      <c r="BB327" s="234">
        <v>40.780141843971634</v>
      </c>
      <c r="BC327" s="20">
        <v>2014</v>
      </c>
      <c r="BD327" s="263" t="s">
        <v>556</v>
      </c>
      <c r="BE327" s="261" t="s">
        <v>556</v>
      </c>
      <c r="BF327" s="259" t="s">
        <v>556</v>
      </c>
      <c r="BG327" s="256">
        <v>83.828382838283829</v>
      </c>
      <c r="BH327" s="248" t="s">
        <v>556</v>
      </c>
      <c r="BI327" s="249">
        <v>79.608294930875573</v>
      </c>
      <c r="BJ327" s="308" t="s">
        <v>556</v>
      </c>
      <c r="BK327" s="307" t="s">
        <v>556</v>
      </c>
      <c r="BL327" s="319" t="s">
        <v>1728</v>
      </c>
      <c r="BM327" s="320" t="s">
        <v>556</v>
      </c>
      <c r="BN327" s="321" t="s">
        <v>1957</v>
      </c>
      <c r="BO327" s="145" t="s">
        <v>556</v>
      </c>
      <c r="BP327" s="14" t="s">
        <v>556</v>
      </c>
      <c r="BQ327" s="14" t="s">
        <v>556</v>
      </c>
    </row>
    <row r="328" spans="1:70" s="56" customFormat="1" ht="13.95" customHeight="1" x14ac:dyDescent="0.3">
      <c r="A328" s="56" t="s">
        <v>459</v>
      </c>
      <c r="B328" s="57" t="s">
        <v>462</v>
      </c>
      <c r="C328" s="55" t="s">
        <v>363</v>
      </c>
      <c r="D328" s="58">
        <v>7</v>
      </c>
      <c r="E328" s="59" t="s">
        <v>708</v>
      </c>
      <c r="F328" s="60" t="s">
        <v>455</v>
      </c>
      <c r="G328" s="61" t="s">
        <v>528</v>
      </c>
      <c r="H328" s="61" t="s">
        <v>528</v>
      </c>
      <c r="I328" s="62" t="s">
        <v>528</v>
      </c>
      <c r="J328" s="63" t="s">
        <v>2256</v>
      </c>
      <c r="K328" s="99" t="s">
        <v>1503</v>
      </c>
      <c r="L328" s="130">
        <v>494598144</v>
      </c>
      <c r="M328" s="109" t="s">
        <v>564</v>
      </c>
      <c r="N328" s="12" t="s">
        <v>1502</v>
      </c>
      <c r="O328" s="100"/>
      <c r="P328" s="131"/>
      <c r="Q328" s="84"/>
      <c r="S328" s="105"/>
      <c r="T328" s="112"/>
      <c r="U328" s="170">
        <f>34688+19916+412777</f>
        <v>467381</v>
      </c>
      <c r="V328" s="48">
        <f t="shared" si="77"/>
        <v>427.22212065813528</v>
      </c>
      <c r="W328" s="171">
        <f t="shared" si="78"/>
        <v>281.03069702715277</v>
      </c>
      <c r="X328" s="69">
        <v>143500</v>
      </c>
      <c r="Y328" s="48">
        <f t="shared" si="79"/>
        <v>131.17001828153565</v>
      </c>
      <c r="Z328" s="137">
        <f t="shared" si="80"/>
        <v>86.284861865151612</v>
      </c>
      <c r="AA328" s="69">
        <v>0</v>
      </c>
      <c r="AB328" s="48">
        <f t="shared" si="81"/>
        <v>0</v>
      </c>
      <c r="AC328" s="137">
        <f t="shared" si="82"/>
        <v>0</v>
      </c>
      <c r="AD328" s="70">
        <f t="shared" si="83"/>
        <v>610881</v>
      </c>
      <c r="AE328" s="71">
        <f t="shared" si="84"/>
        <v>558.39213893967099</v>
      </c>
      <c r="AF328" s="193">
        <f t="shared" si="85"/>
        <v>367.31555889230441</v>
      </c>
      <c r="AG328" s="185">
        <f t="shared" si="86"/>
        <v>1.0938866505506311E-2</v>
      </c>
      <c r="AH328" s="180">
        <f t="shared" si="76"/>
        <v>0.11781697203471553</v>
      </c>
      <c r="AI328" s="189">
        <v>1094</v>
      </c>
      <c r="AJ328" s="125">
        <v>1663.0959</v>
      </c>
      <c r="AK328" s="149">
        <v>403</v>
      </c>
      <c r="AL328" s="221">
        <v>276</v>
      </c>
      <c r="AM328" s="216">
        <v>74.870466321243526</v>
      </c>
      <c r="AN328" s="213">
        <v>10.505836575875486</v>
      </c>
      <c r="AO328" s="127">
        <v>11.169</v>
      </c>
      <c r="AP328" s="133">
        <v>1.0369999999999999</v>
      </c>
      <c r="AQ328" s="224">
        <f t="shared" si="87"/>
        <v>1.0233863423760523</v>
      </c>
      <c r="AR328" s="158">
        <v>1069</v>
      </c>
      <c r="AS328" s="229">
        <f t="shared" si="88"/>
        <v>0.73472128945601078</v>
      </c>
      <c r="AT328" s="230">
        <v>1489</v>
      </c>
      <c r="AU328" s="203">
        <v>15.539305301645337</v>
      </c>
      <c r="AV328" s="204">
        <v>65.539305301645328</v>
      </c>
      <c r="AW328" s="205">
        <v>18.921389396709323</v>
      </c>
      <c r="AX328" s="123">
        <v>1.7857000000000001</v>
      </c>
      <c r="AY328" s="281">
        <v>6.4794816414686833</v>
      </c>
      <c r="AZ328" s="282">
        <v>44.060475161987043</v>
      </c>
      <c r="BA328" s="283">
        <f t="shared" si="89"/>
        <v>49.460043196544277</v>
      </c>
      <c r="BB328" s="234">
        <v>90.27027027027026</v>
      </c>
      <c r="BC328" s="20">
        <v>2011</v>
      </c>
      <c r="BD328" s="263" t="s">
        <v>556</v>
      </c>
      <c r="BE328" s="261" t="s">
        <v>556</v>
      </c>
      <c r="BF328" s="260" t="s">
        <v>557</v>
      </c>
      <c r="BG328" s="256">
        <v>21.270452358036572</v>
      </c>
      <c r="BH328" s="248" t="s">
        <v>556</v>
      </c>
      <c r="BI328" s="249">
        <v>51.167512690355331</v>
      </c>
      <c r="BJ328" s="308" t="s">
        <v>556</v>
      </c>
      <c r="BK328" s="307" t="s">
        <v>556</v>
      </c>
      <c r="BL328" s="319" t="s">
        <v>1728</v>
      </c>
      <c r="BM328" s="320" t="s">
        <v>556</v>
      </c>
      <c r="BN328" s="321" t="s">
        <v>2234</v>
      </c>
      <c r="BO328" s="145" t="s">
        <v>556</v>
      </c>
      <c r="BP328" s="14" t="s">
        <v>556</v>
      </c>
      <c r="BQ328" s="14" t="s">
        <v>557</v>
      </c>
      <c r="BR328" s="81"/>
    </row>
    <row r="329" spans="1:70" s="72" customFormat="1" ht="13.95" customHeight="1" x14ac:dyDescent="0.3">
      <c r="A329" s="56" t="s">
        <v>459</v>
      </c>
      <c r="B329" s="57" t="s">
        <v>462</v>
      </c>
      <c r="C329" s="55" t="s">
        <v>276</v>
      </c>
      <c r="D329" s="58">
        <v>1</v>
      </c>
      <c r="E329" s="59"/>
      <c r="F329" s="60" t="s">
        <v>454</v>
      </c>
      <c r="G329" s="61" t="s">
        <v>226</v>
      </c>
      <c r="H329" s="61" t="s">
        <v>238</v>
      </c>
      <c r="I329" s="62" t="s">
        <v>238</v>
      </c>
      <c r="J329" s="63" t="s">
        <v>2267</v>
      </c>
      <c r="K329" s="99" t="s">
        <v>2266</v>
      </c>
      <c r="L329" s="130">
        <v>491491961</v>
      </c>
      <c r="M329" s="109" t="s">
        <v>537</v>
      </c>
      <c r="N329" s="12" t="s">
        <v>1350</v>
      </c>
      <c r="O329" s="100" t="s">
        <v>1351</v>
      </c>
      <c r="P329" s="131">
        <v>736229593</v>
      </c>
      <c r="Q329" s="67"/>
      <c r="R329" s="68"/>
      <c r="S329" s="99"/>
      <c r="T329" s="65"/>
      <c r="U329" s="170">
        <f>67000+420000</f>
        <v>487000</v>
      </c>
      <c r="V329" s="48">
        <f t="shared" si="77"/>
        <v>1617.9401993355482</v>
      </c>
      <c r="W329" s="171">
        <f t="shared" si="78"/>
        <v>481.74631555570727</v>
      </c>
      <c r="X329" s="69">
        <v>13200</v>
      </c>
      <c r="Y329" s="48">
        <f t="shared" si="79"/>
        <v>43.853820598006642</v>
      </c>
      <c r="Z329" s="137">
        <f t="shared" si="80"/>
        <v>13.057600339497609</v>
      </c>
      <c r="AA329" s="69">
        <v>0</v>
      </c>
      <c r="AB329" s="48">
        <f t="shared" si="81"/>
        <v>0</v>
      </c>
      <c r="AC329" s="137">
        <f t="shared" si="82"/>
        <v>0</v>
      </c>
      <c r="AD329" s="70">
        <f t="shared" si="83"/>
        <v>500200</v>
      </c>
      <c r="AE329" s="71">
        <f t="shared" si="84"/>
        <v>1661.7940199335549</v>
      </c>
      <c r="AF329" s="193">
        <f t="shared" si="85"/>
        <v>494.80391589520485</v>
      </c>
      <c r="AG329" s="185">
        <f t="shared" si="86"/>
        <v>2.9140693271191381E-2</v>
      </c>
      <c r="AH329" s="180">
        <f t="shared" ref="AH329:AH360" si="90">IF(AD329=0,0,1/(AP329*5000000/AD329))</f>
        <v>0.3078153846153846</v>
      </c>
      <c r="AI329" s="189">
        <v>301</v>
      </c>
      <c r="AJ329" s="125">
        <v>1010.9055</v>
      </c>
      <c r="AK329" s="149">
        <v>251</v>
      </c>
      <c r="AL329" s="221">
        <v>95</v>
      </c>
      <c r="AM329" s="216">
        <v>91.150442477876098</v>
      </c>
      <c r="AN329" s="213">
        <v>43.555555555555557</v>
      </c>
      <c r="AO329" s="127">
        <v>3.4329999999999998</v>
      </c>
      <c r="AP329" s="133">
        <v>0.32500000000000001</v>
      </c>
      <c r="AQ329" s="224">
        <f t="shared" si="87"/>
        <v>0.94062500000000004</v>
      </c>
      <c r="AR329" s="158">
        <v>320</v>
      </c>
      <c r="AS329" s="229">
        <f t="shared" si="88"/>
        <v>0.33481646273637372</v>
      </c>
      <c r="AT329" s="230">
        <v>899</v>
      </c>
      <c r="AU329" s="203">
        <v>13.953488372093023</v>
      </c>
      <c r="AV329" s="204">
        <v>62.79069767441861</v>
      </c>
      <c r="AW329" s="205">
        <v>23.255813953488371</v>
      </c>
      <c r="AX329" s="123">
        <v>2.5640999999999998</v>
      </c>
      <c r="AY329" s="281">
        <v>12.903225806451612</v>
      </c>
      <c r="AZ329" s="282">
        <v>37.096774193548384</v>
      </c>
      <c r="BA329" s="283">
        <f t="shared" si="89"/>
        <v>50</v>
      </c>
      <c r="BB329" s="234">
        <v>94.545454545454533</v>
      </c>
      <c r="BC329" s="20">
        <v>2003</v>
      </c>
      <c r="BD329" s="263" t="s">
        <v>556</v>
      </c>
      <c r="BE329" s="261" t="s">
        <v>556</v>
      </c>
      <c r="BF329" s="260" t="s">
        <v>557</v>
      </c>
      <c r="BG329" s="256">
        <v>11.538461538461538</v>
      </c>
      <c r="BH329" s="254" t="s">
        <v>557</v>
      </c>
      <c r="BI329" s="249">
        <v>0</v>
      </c>
      <c r="BJ329" s="309" t="s">
        <v>557</v>
      </c>
      <c r="BK329" s="307" t="s">
        <v>557</v>
      </c>
      <c r="BL329" s="319" t="s">
        <v>1728</v>
      </c>
      <c r="BM329" s="320" t="s">
        <v>556</v>
      </c>
      <c r="BN329" s="321" t="s">
        <v>1731</v>
      </c>
      <c r="BO329" s="145" t="s">
        <v>999</v>
      </c>
      <c r="BP329" s="14" t="s">
        <v>556</v>
      </c>
      <c r="BQ329" s="14" t="s">
        <v>557</v>
      </c>
    </row>
    <row r="330" spans="1:70" s="56" customFormat="1" ht="13.95" customHeight="1" x14ac:dyDescent="0.3">
      <c r="A330" s="56" t="s">
        <v>459</v>
      </c>
      <c r="B330" s="57" t="s">
        <v>462</v>
      </c>
      <c r="C330" s="55" t="s">
        <v>364</v>
      </c>
      <c r="D330" s="58">
        <v>1</v>
      </c>
      <c r="E330" s="59"/>
      <c r="F330" s="60" t="s">
        <v>455</v>
      </c>
      <c r="G330" s="61" t="s">
        <v>528</v>
      </c>
      <c r="H330" s="61" t="s">
        <v>528</v>
      </c>
      <c r="I330" s="62" t="s">
        <v>528</v>
      </c>
      <c r="J330" s="63" t="s">
        <v>2269</v>
      </c>
      <c r="K330" s="99" t="s">
        <v>2268</v>
      </c>
      <c r="L330" s="130">
        <v>494594266</v>
      </c>
      <c r="M330" s="109" t="s">
        <v>564</v>
      </c>
      <c r="N330" s="12" t="s">
        <v>1504</v>
      </c>
      <c r="O330" s="100" t="s">
        <v>1505</v>
      </c>
      <c r="P330" s="131">
        <v>739404954</v>
      </c>
      <c r="Q330" s="84"/>
      <c r="S330" s="105"/>
      <c r="T330" s="112"/>
      <c r="U330" s="170">
        <v>0</v>
      </c>
      <c r="V330" s="48">
        <f t="shared" si="77"/>
        <v>0</v>
      </c>
      <c r="W330" s="171">
        <f t="shared" si="78"/>
        <v>0</v>
      </c>
      <c r="X330" s="69">
        <v>245030</v>
      </c>
      <c r="Y330" s="48">
        <f t="shared" si="79"/>
        <v>284.91860465116281</v>
      </c>
      <c r="Z330" s="137">
        <f t="shared" si="80"/>
        <v>150.25988711651627</v>
      </c>
      <c r="AA330" s="69">
        <v>0</v>
      </c>
      <c r="AB330" s="48">
        <f t="shared" si="81"/>
        <v>0</v>
      </c>
      <c r="AC330" s="137">
        <f t="shared" si="82"/>
        <v>0</v>
      </c>
      <c r="AD330" s="70">
        <f t="shared" si="83"/>
        <v>245030</v>
      </c>
      <c r="AE330" s="71">
        <f t="shared" si="84"/>
        <v>284.91860465116281</v>
      </c>
      <c r="AF330" s="193">
        <f t="shared" si="85"/>
        <v>150.25988711651627</v>
      </c>
      <c r="AG330" s="185">
        <f t="shared" si="86"/>
        <v>5.398325622383785E-3</v>
      </c>
      <c r="AH330" s="180">
        <f t="shared" si="90"/>
        <v>0.11396744186046512</v>
      </c>
      <c r="AI330" s="189">
        <v>860</v>
      </c>
      <c r="AJ330" s="125">
        <v>1630.7080000000001</v>
      </c>
      <c r="AK330" s="149">
        <v>357</v>
      </c>
      <c r="AL330" s="221">
        <v>229</v>
      </c>
      <c r="AM330" s="216">
        <v>91.095890410958901</v>
      </c>
      <c r="AN330" s="213">
        <v>17.974683544303797</v>
      </c>
      <c r="AO330" s="127">
        <v>9.0779999999999994</v>
      </c>
      <c r="AP330" s="133">
        <v>0.43</v>
      </c>
      <c r="AQ330" s="224">
        <f t="shared" si="87"/>
        <v>1.0449574726609963</v>
      </c>
      <c r="AR330" s="158">
        <v>823</v>
      </c>
      <c r="AS330" s="229">
        <f t="shared" si="88"/>
        <v>0.83172147001934238</v>
      </c>
      <c r="AT330" s="230">
        <v>1034</v>
      </c>
      <c r="AU330" s="203">
        <v>15</v>
      </c>
      <c r="AV330" s="204">
        <v>66.860465116279073</v>
      </c>
      <c r="AW330" s="205">
        <v>18.13953488372093</v>
      </c>
      <c r="AX330" s="123">
        <v>2.4306000000000001</v>
      </c>
      <c r="AY330" s="281">
        <v>14.435695538057743</v>
      </c>
      <c r="AZ330" s="282">
        <v>35.170603674540686</v>
      </c>
      <c r="BA330" s="283">
        <f t="shared" si="89"/>
        <v>50.393700787401571</v>
      </c>
      <c r="BB330" s="234">
        <v>85.789473684210535</v>
      </c>
      <c r="BC330" s="20">
        <v>2000</v>
      </c>
      <c r="BD330" s="263" t="s">
        <v>556</v>
      </c>
      <c r="BE330" s="261" t="s">
        <v>556</v>
      </c>
      <c r="BF330" s="260" t="s">
        <v>557</v>
      </c>
      <c r="BG330" s="256">
        <v>18.674698795180721</v>
      </c>
      <c r="BH330" s="254" t="s">
        <v>557</v>
      </c>
      <c r="BI330" s="249">
        <v>0</v>
      </c>
      <c r="BJ330" s="308" t="s">
        <v>556</v>
      </c>
      <c r="BK330" s="307" t="s">
        <v>556</v>
      </c>
      <c r="BL330" s="319" t="s">
        <v>1728</v>
      </c>
      <c r="BM330" s="320" t="s">
        <v>556</v>
      </c>
      <c r="BN330" s="321" t="s">
        <v>1803</v>
      </c>
      <c r="BO330" s="145" t="s">
        <v>556</v>
      </c>
      <c r="BP330" s="14" t="s">
        <v>556</v>
      </c>
      <c r="BQ330" s="14" t="s">
        <v>556</v>
      </c>
    </row>
    <row r="331" spans="1:70" s="72" customFormat="1" ht="13.95" customHeight="1" x14ac:dyDescent="0.3">
      <c r="A331" s="56" t="s">
        <v>459</v>
      </c>
      <c r="B331" s="57" t="s">
        <v>462</v>
      </c>
      <c r="C331" s="55" t="s">
        <v>187</v>
      </c>
      <c r="D331" s="58">
        <v>2</v>
      </c>
      <c r="E331" s="59" t="s">
        <v>601</v>
      </c>
      <c r="F331" s="60" t="s">
        <v>453</v>
      </c>
      <c r="G331" s="61" t="s">
        <v>113</v>
      </c>
      <c r="H331" s="61" t="s">
        <v>113</v>
      </c>
      <c r="I331" s="62" t="s">
        <v>113</v>
      </c>
      <c r="J331" s="63" t="s">
        <v>2257</v>
      </c>
      <c r="K331" s="99" t="s">
        <v>1152</v>
      </c>
      <c r="L331" s="130">
        <v>493555030</v>
      </c>
      <c r="M331" s="109" t="s">
        <v>564</v>
      </c>
      <c r="N331" s="12" t="s">
        <v>1151</v>
      </c>
      <c r="O331" s="100"/>
      <c r="P331" s="131">
        <v>733710731</v>
      </c>
      <c r="Q331" s="67"/>
      <c r="R331" s="68"/>
      <c r="S331" s="99"/>
      <c r="T331" s="65"/>
      <c r="U331" s="170">
        <v>133736</v>
      </c>
      <c r="V331" s="48">
        <f t="shared" si="77"/>
        <v>249.04283054003724</v>
      </c>
      <c r="W331" s="171">
        <f t="shared" si="78"/>
        <v>113.73434777132606</v>
      </c>
      <c r="X331" s="69">
        <v>124610</v>
      </c>
      <c r="Y331" s="48">
        <f t="shared" si="79"/>
        <v>232.048417132216</v>
      </c>
      <c r="Z331" s="137">
        <f t="shared" si="80"/>
        <v>105.97323888694847</v>
      </c>
      <c r="AA331" s="69">
        <v>0</v>
      </c>
      <c r="AB331" s="48">
        <f t="shared" si="81"/>
        <v>0</v>
      </c>
      <c r="AC331" s="137">
        <f t="shared" si="82"/>
        <v>0</v>
      </c>
      <c r="AD331" s="70">
        <f t="shared" si="83"/>
        <v>258346</v>
      </c>
      <c r="AE331" s="71">
        <f t="shared" si="84"/>
        <v>481.09124767225325</v>
      </c>
      <c r="AF331" s="193">
        <f t="shared" si="85"/>
        <v>219.70758665827452</v>
      </c>
      <c r="AG331" s="185">
        <f t="shared" si="86"/>
        <v>4.9340336134453787E-3</v>
      </c>
      <c r="AH331" s="180">
        <f t="shared" si="90"/>
        <v>9.674068526493166E-3</v>
      </c>
      <c r="AI331" s="189">
        <v>537</v>
      </c>
      <c r="AJ331" s="125">
        <v>1175.8629000000001</v>
      </c>
      <c r="AK331" s="149">
        <v>226</v>
      </c>
      <c r="AL331" s="221">
        <v>147</v>
      </c>
      <c r="AM331" s="216">
        <v>90.173410404624278</v>
      </c>
      <c r="AN331" s="213">
        <v>13.502109704641349</v>
      </c>
      <c r="AO331" s="127">
        <v>10.472</v>
      </c>
      <c r="AP331" s="133">
        <v>5.3410000000000002</v>
      </c>
      <c r="AQ331" s="224">
        <f t="shared" si="87"/>
        <v>1.1959910913140313</v>
      </c>
      <c r="AR331" s="158">
        <v>449</v>
      </c>
      <c r="AS331" s="229">
        <f t="shared" si="88"/>
        <v>0.53539381854436685</v>
      </c>
      <c r="AT331" s="230">
        <v>1003</v>
      </c>
      <c r="AU331" s="203">
        <v>14.338919925512103</v>
      </c>
      <c r="AV331" s="204">
        <v>62.569832402234638</v>
      </c>
      <c r="AW331" s="205">
        <v>23.09124767225326</v>
      </c>
      <c r="AX331" s="123">
        <v>0.5988</v>
      </c>
      <c r="AY331" s="281">
        <v>17.676767676767678</v>
      </c>
      <c r="AZ331" s="282">
        <v>30.808080808080806</v>
      </c>
      <c r="BA331" s="283">
        <f t="shared" si="89"/>
        <v>51.515151515151516</v>
      </c>
      <c r="BB331" s="234">
        <v>55.882352941176471</v>
      </c>
      <c r="BC331" s="20">
        <v>2001</v>
      </c>
      <c r="BD331" s="263" t="s">
        <v>556</v>
      </c>
      <c r="BE331" s="261" t="s">
        <v>556</v>
      </c>
      <c r="BF331" s="260" t="s">
        <v>557</v>
      </c>
      <c r="BG331" s="256">
        <v>34.675615212527966</v>
      </c>
      <c r="BH331" s="248" t="s">
        <v>556</v>
      </c>
      <c r="BI331" s="249">
        <v>49.532710280373834</v>
      </c>
      <c r="BJ331" s="308" t="s">
        <v>556</v>
      </c>
      <c r="BK331" s="307" t="s">
        <v>750</v>
      </c>
      <c r="BL331" s="319" t="s">
        <v>1728</v>
      </c>
      <c r="BM331" s="320" t="s">
        <v>556</v>
      </c>
      <c r="BN331" s="321" t="s">
        <v>1838</v>
      </c>
      <c r="BO331" s="145" t="s">
        <v>998</v>
      </c>
      <c r="BP331" s="14">
        <v>2</v>
      </c>
      <c r="BQ331" s="14" t="s">
        <v>557</v>
      </c>
      <c r="BR331" s="56"/>
    </row>
    <row r="332" spans="1:70" s="56" customFormat="1" ht="13.95" customHeight="1" x14ac:dyDescent="0.3">
      <c r="A332" s="56" t="s">
        <v>459</v>
      </c>
      <c r="B332" s="57" t="s">
        <v>462</v>
      </c>
      <c r="C332" s="55" t="s">
        <v>277</v>
      </c>
      <c r="D332" s="58">
        <v>1</v>
      </c>
      <c r="E332" s="59"/>
      <c r="F332" s="60" t="s">
        <v>454</v>
      </c>
      <c r="G332" s="61" t="s">
        <v>526</v>
      </c>
      <c r="H332" s="61" t="s">
        <v>526</v>
      </c>
      <c r="I332" s="62" t="s">
        <v>526</v>
      </c>
      <c r="J332" s="63" t="s">
        <v>2258</v>
      </c>
      <c r="K332" s="99" t="s">
        <v>1353</v>
      </c>
      <c r="L332" s="130">
        <v>491475530</v>
      </c>
      <c r="M332" s="109" t="s">
        <v>564</v>
      </c>
      <c r="N332" s="12" t="s">
        <v>1352</v>
      </c>
      <c r="O332" s="100"/>
      <c r="P332" s="131">
        <v>491475476</v>
      </c>
      <c r="Q332" s="67"/>
      <c r="R332" s="68"/>
      <c r="S332" s="99"/>
      <c r="T332" s="65"/>
      <c r="U332" s="170">
        <v>369210</v>
      </c>
      <c r="V332" s="48">
        <f t="shared" si="77"/>
        <v>1403.8403041825095</v>
      </c>
      <c r="W332" s="171">
        <f t="shared" si="78"/>
        <v>665.26014444691293</v>
      </c>
      <c r="X332" s="69">
        <v>53000</v>
      </c>
      <c r="Y332" s="48">
        <f t="shared" si="79"/>
        <v>201.52091254752852</v>
      </c>
      <c r="Z332" s="137">
        <f t="shared" si="80"/>
        <v>95.497921658910613</v>
      </c>
      <c r="AA332" s="69">
        <v>0</v>
      </c>
      <c r="AB332" s="48">
        <f t="shared" si="81"/>
        <v>0</v>
      </c>
      <c r="AC332" s="137">
        <f t="shared" si="82"/>
        <v>0</v>
      </c>
      <c r="AD332" s="70">
        <f t="shared" si="83"/>
        <v>422210</v>
      </c>
      <c r="AE332" s="71">
        <f t="shared" si="84"/>
        <v>1605.361216730038</v>
      </c>
      <c r="AF332" s="193">
        <f t="shared" si="85"/>
        <v>760.75806610582356</v>
      </c>
      <c r="AG332" s="185">
        <f t="shared" si="86"/>
        <v>3.3682489030714004E-2</v>
      </c>
      <c r="AH332" s="180">
        <f t="shared" si="90"/>
        <v>0.13446178343949045</v>
      </c>
      <c r="AI332" s="189">
        <v>263</v>
      </c>
      <c r="AJ332" s="125">
        <v>554.98590000000002</v>
      </c>
      <c r="AK332" s="149">
        <v>101</v>
      </c>
      <c r="AL332" s="221">
        <v>71</v>
      </c>
      <c r="AM332" s="216">
        <v>91.111111111111114</v>
      </c>
      <c r="AN332" s="213">
        <v>12.612612612612612</v>
      </c>
      <c r="AO332" s="127">
        <v>2.5070000000000001</v>
      </c>
      <c r="AP332" s="133">
        <v>0.628</v>
      </c>
      <c r="AQ332" s="224">
        <f t="shared" si="87"/>
        <v>1.0823045267489713</v>
      </c>
      <c r="AR332" s="158">
        <v>243</v>
      </c>
      <c r="AS332" s="229">
        <f t="shared" si="88"/>
        <v>0.64303178484107582</v>
      </c>
      <c r="AT332" s="230">
        <v>409</v>
      </c>
      <c r="AU332" s="203">
        <v>21.673003802281368</v>
      </c>
      <c r="AV332" s="204">
        <v>58.555133079847906</v>
      </c>
      <c r="AW332" s="205">
        <v>19.771863117870723</v>
      </c>
      <c r="AX332" s="123">
        <v>4.4585999999999997</v>
      </c>
      <c r="AY332" s="281">
        <v>16.981132075471699</v>
      </c>
      <c r="AZ332" s="282">
        <v>33.962264150943398</v>
      </c>
      <c r="BA332" s="283">
        <f t="shared" si="89"/>
        <v>49.056603773584911</v>
      </c>
      <c r="BB332" s="234">
        <v>75</v>
      </c>
      <c r="BC332" s="20">
        <v>1999</v>
      </c>
      <c r="BD332" s="263" t="s">
        <v>556</v>
      </c>
      <c r="BE332" s="261" t="s">
        <v>556</v>
      </c>
      <c r="BF332" s="260" t="s">
        <v>557</v>
      </c>
      <c r="BG332" s="256">
        <v>3.6585365853658534</v>
      </c>
      <c r="BH332" s="254" t="s">
        <v>557</v>
      </c>
      <c r="BI332" s="249">
        <v>0</v>
      </c>
      <c r="BJ332" s="309" t="s">
        <v>557</v>
      </c>
      <c r="BK332" s="307" t="s">
        <v>557</v>
      </c>
      <c r="BL332" s="319" t="s">
        <v>1728</v>
      </c>
      <c r="BM332" s="320" t="s">
        <v>556</v>
      </c>
      <c r="BN332" s="321" t="s">
        <v>557</v>
      </c>
      <c r="BO332" s="145" t="s">
        <v>557</v>
      </c>
      <c r="BP332" s="14" t="s">
        <v>556</v>
      </c>
      <c r="BQ332" s="14" t="s">
        <v>557</v>
      </c>
      <c r="BR332" s="81"/>
    </row>
    <row r="333" spans="1:70" s="56" customFormat="1" ht="13.95" customHeight="1" x14ac:dyDescent="0.3">
      <c r="A333" s="56" t="s">
        <v>459</v>
      </c>
      <c r="B333" s="57" t="s">
        <v>462</v>
      </c>
      <c r="C333" s="55" t="s">
        <v>188</v>
      </c>
      <c r="D333" s="58">
        <v>1</v>
      </c>
      <c r="E333" s="59"/>
      <c r="F333" s="60" t="s">
        <v>453</v>
      </c>
      <c r="G333" s="61" t="s">
        <v>113</v>
      </c>
      <c r="H333" s="61" t="s">
        <v>114</v>
      </c>
      <c r="I333" s="62" t="s">
        <v>114</v>
      </c>
      <c r="J333" s="63" t="s">
        <v>2272</v>
      </c>
      <c r="K333" s="99" t="s">
        <v>1154</v>
      </c>
      <c r="L333" s="130">
        <v>493595158</v>
      </c>
      <c r="M333" s="109" t="s">
        <v>564</v>
      </c>
      <c r="N333" s="12" t="s">
        <v>1153</v>
      </c>
      <c r="O333" s="100"/>
      <c r="P333" s="131">
        <v>724180457</v>
      </c>
      <c r="Q333" s="67"/>
      <c r="R333" s="68"/>
      <c r="S333" s="99"/>
      <c r="T333" s="65"/>
      <c r="U333" s="170">
        <v>0</v>
      </c>
      <c r="V333" s="48">
        <f t="shared" si="77"/>
        <v>0</v>
      </c>
      <c r="W333" s="171">
        <f t="shared" si="78"/>
        <v>0</v>
      </c>
      <c r="X333" s="69">
        <v>76593</v>
      </c>
      <c r="Y333" s="48">
        <f t="shared" si="79"/>
        <v>603.09448818897636</v>
      </c>
      <c r="Z333" s="137">
        <f t="shared" si="80"/>
        <v>130.90965399945887</v>
      </c>
      <c r="AA333" s="69">
        <v>0</v>
      </c>
      <c r="AB333" s="48">
        <f t="shared" si="81"/>
        <v>0</v>
      </c>
      <c r="AC333" s="137">
        <f t="shared" si="82"/>
        <v>0</v>
      </c>
      <c r="AD333" s="70">
        <f t="shared" si="83"/>
        <v>76593</v>
      </c>
      <c r="AE333" s="71">
        <f t="shared" si="84"/>
        <v>603.09448818897636</v>
      </c>
      <c r="AF333" s="193">
        <f t="shared" si="85"/>
        <v>130.90965399945887</v>
      </c>
      <c r="AG333" s="185">
        <f t="shared" si="86"/>
        <v>8.51979977753059E-3</v>
      </c>
      <c r="AH333" s="180">
        <f t="shared" si="90"/>
        <v>0.14589142857142856</v>
      </c>
      <c r="AI333" s="189">
        <v>127</v>
      </c>
      <c r="AJ333" s="125">
        <v>585.0829</v>
      </c>
      <c r="AK333" s="149">
        <v>110</v>
      </c>
      <c r="AL333" s="221">
        <v>54</v>
      </c>
      <c r="AM333" s="216">
        <v>100</v>
      </c>
      <c r="AN333" s="213">
        <v>42.477876106194692</v>
      </c>
      <c r="AO333" s="127">
        <v>1.798</v>
      </c>
      <c r="AP333" s="133">
        <v>0.105</v>
      </c>
      <c r="AQ333" s="224">
        <f t="shared" si="87"/>
        <v>0.80379746835443033</v>
      </c>
      <c r="AR333" s="158">
        <v>158</v>
      </c>
      <c r="AS333" s="229">
        <f t="shared" si="88"/>
        <v>0.25148514851485149</v>
      </c>
      <c r="AT333" s="230">
        <v>505</v>
      </c>
      <c r="AU333" s="203">
        <v>8.6614173228346463</v>
      </c>
      <c r="AV333" s="204">
        <v>69.291338582677156</v>
      </c>
      <c r="AW333" s="205">
        <v>22.047244094488189</v>
      </c>
      <c r="AX333" s="123">
        <v>6.8182</v>
      </c>
      <c r="AY333" s="281">
        <v>7.2727272727272725</v>
      </c>
      <c r="AZ333" s="282">
        <v>40</v>
      </c>
      <c r="BA333" s="283">
        <f t="shared" si="89"/>
        <v>52.727272727272734</v>
      </c>
      <c r="BB333" s="234">
        <v>99.999999999999986</v>
      </c>
      <c r="BC333" s="20">
        <v>1999</v>
      </c>
      <c r="BD333" s="263" t="s">
        <v>556</v>
      </c>
      <c r="BE333" s="261" t="s">
        <v>556</v>
      </c>
      <c r="BF333" s="260" t="s">
        <v>557</v>
      </c>
      <c r="BG333" s="256">
        <v>21.259842519685041</v>
      </c>
      <c r="BH333" s="254" t="s">
        <v>557</v>
      </c>
      <c r="BI333" s="249">
        <v>0</v>
      </c>
      <c r="BJ333" s="309" t="s">
        <v>557</v>
      </c>
      <c r="BK333" s="307" t="s">
        <v>557</v>
      </c>
      <c r="BL333" s="319" t="s">
        <v>1728</v>
      </c>
      <c r="BM333" s="320" t="s">
        <v>556</v>
      </c>
      <c r="BN333" s="321" t="s">
        <v>1838</v>
      </c>
      <c r="BO333" s="145" t="s">
        <v>557</v>
      </c>
      <c r="BP333" s="14" t="s">
        <v>556</v>
      </c>
      <c r="BQ333" s="14" t="s">
        <v>557</v>
      </c>
      <c r="BR333" s="72"/>
    </row>
    <row r="334" spans="1:70" s="56" customFormat="1" ht="13.95" customHeight="1" x14ac:dyDescent="0.3">
      <c r="A334" s="56" t="s">
        <v>459</v>
      </c>
      <c r="B334" s="57" t="s">
        <v>462</v>
      </c>
      <c r="C334" s="55" t="s">
        <v>278</v>
      </c>
      <c r="D334" s="58">
        <v>2</v>
      </c>
      <c r="E334" s="59" t="s">
        <v>661</v>
      </c>
      <c r="F334" s="60" t="s">
        <v>454</v>
      </c>
      <c r="G334" s="61" t="s">
        <v>526</v>
      </c>
      <c r="H334" s="61" t="s">
        <v>526</v>
      </c>
      <c r="I334" s="62" t="s">
        <v>526</v>
      </c>
      <c r="J334" s="63" t="s">
        <v>2270</v>
      </c>
      <c r="K334" s="99" t="s">
        <v>1355</v>
      </c>
      <c r="L334" s="130">
        <v>491472296</v>
      </c>
      <c r="M334" s="109" t="s">
        <v>564</v>
      </c>
      <c r="N334" s="12" t="s">
        <v>1354</v>
      </c>
      <c r="O334" s="100"/>
      <c r="P334" s="131"/>
      <c r="Q334" s="67"/>
      <c r="R334" s="68"/>
      <c r="S334" s="99"/>
      <c r="T334" s="65"/>
      <c r="U334" s="170">
        <v>214000</v>
      </c>
      <c r="V334" s="48">
        <f t="shared" si="77"/>
        <v>772.56317689530681</v>
      </c>
      <c r="W334" s="171">
        <f t="shared" si="78"/>
        <v>544.85256900532329</v>
      </c>
      <c r="X334" s="69">
        <v>142908</v>
      </c>
      <c r="Y334" s="48">
        <f t="shared" si="79"/>
        <v>515.91335740072202</v>
      </c>
      <c r="Z334" s="137">
        <f t="shared" si="80"/>
        <v>363.84949033370441</v>
      </c>
      <c r="AA334" s="69">
        <v>0</v>
      </c>
      <c r="AB334" s="48">
        <f t="shared" si="81"/>
        <v>0</v>
      </c>
      <c r="AC334" s="137">
        <f t="shared" si="82"/>
        <v>0</v>
      </c>
      <c r="AD334" s="70">
        <f t="shared" si="83"/>
        <v>356908</v>
      </c>
      <c r="AE334" s="71">
        <f t="shared" si="84"/>
        <v>1288.4765342960288</v>
      </c>
      <c r="AF334" s="193">
        <f t="shared" si="85"/>
        <v>908.70205933902764</v>
      </c>
      <c r="AG334" s="185">
        <f t="shared" si="86"/>
        <v>3.7768042328042331E-2</v>
      </c>
      <c r="AH334" s="180">
        <f t="shared" si="90"/>
        <v>0.21829235474006117</v>
      </c>
      <c r="AI334" s="189">
        <v>277</v>
      </c>
      <c r="AJ334" s="125">
        <v>392.76679999999999</v>
      </c>
      <c r="AK334" s="149">
        <v>120</v>
      </c>
      <c r="AL334" s="221">
        <v>80</v>
      </c>
      <c r="AM334" s="216">
        <v>90.721649484536087</v>
      </c>
      <c r="AN334" s="213">
        <v>16.40625</v>
      </c>
      <c r="AO334" s="127">
        <v>1.89</v>
      </c>
      <c r="AP334" s="133">
        <v>0.32700000000000001</v>
      </c>
      <c r="AQ334" s="224">
        <f t="shared" si="87"/>
        <v>1.0572519083969465</v>
      </c>
      <c r="AR334" s="158">
        <v>262</v>
      </c>
      <c r="AS334" s="229">
        <f t="shared" si="88"/>
        <v>0.80057803468208089</v>
      </c>
      <c r="AT334" s="230">
        <v>346</v>
      </c>
      <c r="AU334" s="203">
        <v>16.60649819494585</v>
      </c>
      <c r="AV334" s="204">
        <v>66.787003610108286</v>
      </c>
      <c r="AW334" s="205">
        <v>16.60649819494585</v>
      </c>
      <c r="AX334" s="123">
        <v>6.4170999999999996</v>
      </c>
      <c r="AY334" s="281">
        <v>12.977099236641221</v>
      </c>
      <c r="AZ334" s="282">
        <v>41.984732824427482</v>
      </c>
      <c r="BA334" s="283">
        <f t="shared" si="89"/>
        <v>45.038167938931295</v>
      </c>
      <c r="BB334" s="234">
        <v>55.55555555555555</v>
      </c>
      <c r="BC334" s="20">
        <v>2016</v>
      </c>
      <c r="BD334" s="263" t="s">
        <v>556</v>
      </c>
      <c r="BE334" s="261" t="s">
        <v>556</v>
      </c>
      <c r="BF334" s="260" t="s">
        <v>557</v>
      </c>
      <c r="BG334" s="256">
        <v>33.564013840830448</v>
      </c>
      <c r="BH334" s="254" t="s">
        <v>557</v>
      </c>
      <c r="BI334" s="249">
        <v>0</v>
      </c>
      <c r="BJ334" s="308" t="s">
        <v>556</v>
      </c>
      <c r="BK334" s="307" t="s">
        <v>557</v>
      </c>
      <c r="BL334" s="319" t="s">
        <v>1728</v>
      </c>
      <c r="BM334" s="320" t="s">
        <v>556</v>
      </c>
      <c r="BN334" s="321" t="s">
        <v>1767</v>
      </c>
      <c r="BO334" s="145" t="s">
        <v>557</v>
      </c>
      <c r="BP334" s="14" t="s">
        <v>556</v>
      </c>
      <c r="BQ334" s="14" t="s">
        <v>557</v>
      </c>
    </row>
    <row r="335" spans="1:70" s="72" customFormat="1" ht="13.95" customHeight="1" x14ac:dyDescent="0.3">
      <c r="A335" s="56" t="s">
        <v>459</v>
      </c>
      <c r="B335" s="57" t="s">
        <v>462</v>
      </c>
      <c r="C335" s="55" t="s">
        <v>90</v>
      </c>
      <c r="D335" s="58">
        <v>1</v>
      </c>
      <c r="E335" s="59"/>
      <c r="F335" s="60" t="s">
        <v>452</v>
      </c>
      <c r="G335" s="61" t="s">
        <v>7</v>
      </c>
      <c r="H335" s="61" t="s">
        <v>7</v>
      </c>
      <c r="I335" s="62" t="s">
        <v>7</v>
      </c>
      <c r="J335" s="63" t="s">
        <v>2271</v>
      </c>
      <c r="K335" s="99" t="s">
        <v>944</v>
      </c>
      <c r="L335" s="130">
        <v>495493647</v>
      </c>
      <c r="M335" s="109" t="s">
        <v>564</v>
      </c>
      <c r="N335" s="12" t="s">
        <v>952</v>
      </c>
      <c r="O335" s="100"/>
      <c r="P335" s="131"/>
      <c r="Q335" s="67"/>
      <c r="R335" s="68"/>
      <c r="S335" s="99"/>
      <c r="T335" s="65"/>
      <c r="U335" s="170">
        <f>475000+299900</f>
        <v>774900</v>
      </c>
      <c r="V335" s="48">
        <f t="shared" si="77"/>
        <v>1493.063583815029</v>
      </c>
      <c r="W335" s="171">
        <f t="shared" si="78"/>
        <v>1719.647140567894</v>
      </c>
      <c r="X335" s="69">
        <v>77165</v>
      </c>
      <c r="Y335" s="48">
        <f t="shared" si="79"/>
        <v>148.6801541425819</v>
      </c>
      <c r="Z335" s="137">
        <f t="shared" si="80"/>
        <v>171.24347864488522</v>
      </c>
      <c r="AA335" s="69">
        <v>0</v>
      </c>
      <c r="AB335" s="48">
        <f t="shared" si="81"/>
        <v>0</v>
      </c>
      <c r="AC335" s="137">
        <f t="shared" si="82"/>
        <v>0</v>
      </c>
      <c r="AD335" s="70">
        <f t="shared" si="83"/>
        <v>852065</v>
      </c>
      <c r="AE335" s="71">
        <f t="shared" si="84"/>
        <v>1641.7437379576108</v>
      </c>
      <c r="AF335" s="193">
        <f t="shared" si="85"/>
        <v>1890.8906192127793</v>
      </c>
      <c r="AG335" s="185">
        <f t="shared" si="86"/>
        <v>3.5122217642209401E-2</v>
      </c>
      <c r="AH335" s="180">
        <f t="shared" si="90"/>
        <v>0.18747304730473047</v>
      </c>
      <c r="AI335" s="189">
        <v>519</v>
      </c>
      <c r="AJ335" s="125">
        <v>450.6157</v>
      </c>
      <c r="AK335" s="149">
        <v>224</v>
      </c>
      <c r="AL335" s="221">
        <v>154</v>
      </c>
      <c r="AM335" s="216">
        <v>97.660818713450297</v>
      </c>
      <c r="AN335" s="213">
        <v>18.385650224215247</v>
      </c>
      <c r="AO335" s="127">
        <v>4.8520000000000003</v>
      </c>
      <c r="AP335" s="133">
        <v>0.90900000000000003</v>
      </c>
      <c r="AQ335" s="224">
        <f t="shared" si="87"/>
        <v>1.1185344827586208</v>
      </c>
      <c r="AR335" s="158">
        <v>464</v>
      </c>
      <c r="AS335" s="229">
        <f t="shared" si="88"/>
        <v>0.5824915824915825</v>
      </c>
      <c r="AT335" s="230">
        <v>891</v>
      </c>
      <c r="AU335" s="203">
        <v>15.799614643545279</v>
      </c>
      <c r="AV335" s="204">
        <v>66.088631984585732</v>
      </c>
      <c r="AW335" s="205">
        <v>18.111753371868978</v>
      </c>
      <c r="AX335" s="123">
        <v>6.0171999999999999</v>
      </c>
      <c r="AY335" s="281">
        <v>4.2654028436018958</v>
      </c>
      <c r="AZ335" s="282">
        <v>35.071090047393369</v>
      </c>
      <c r="BA335" s="283">
        <f t="shared" si="89"/>
        <v>60.66350710900474</v>
      </c>
      <c r="BB335" s="234">
        <v>75.652173913043484</v>
      </c>
      <c r="BC335" s="20">
        <v>2012</v>
      </c>
      <c r="BD335" s="263" t="s">
        <v>556</v>
      </c>
      <c r="BE335" s="261" t="s">
        <v>556</v>
      </c>
      <c r="BF335" s="260" t="s">
        <v>557</v>
      </c>
      <c r="BG335" s="256">
        <v>31.771894093686353</v>
      </c>
      <c r="BH335" s="248" t="s">
        <v>556</v>
      </c>
      <c r="BI335" s="249">
        <v>79.91360691144709</v>
      </c>
      <c r="BJ335" s="308" t="s">
        <v>556</v>
      </c>
      <c r="BK335" s="307" t="s">
        <v>557</v>
      </c>
      <c r="BL335" s="319" t="s">
        <v>1728</v>
      </c>
      <c r="BM335" s="320" t="s">
        <v>557</v>
      </c>
      <c r="BN335" s="321" t="s">
        <v>1767</v>
      </c>
      <c r="BO335" s="145" t="s">
        <v>557</v>
      </c>
      <c r="BP335" s="14" t="s">
        <v>556</v>
      </c>
      <c r="BQ335" s="14" t="s">
        <v>557</v>
      </c>
      <c r="BR335" s="56"/>
    </row>
    <row r="336" spans="1:70" s="56" customFormat="1" ht="13.95" customHeight="1" x14ac:dyDescent="0.3">
      <c r="A336" s="56" t="s">
        <v>459</v>
      </c>
      <c r="B336" s="57" t="s">
        <v>462</v>
      </c>
      <c r="C336" s="55" t="s">
        <v>71</v>
      </c>
      <c r="D336" s="58">
        <v>5</v>
      </c>
      <c r="E336" s="59" t="s">
        <v>489</v>
      </c>
      <c r="F336" s="60" t="s">
        <v>452</v>
      </c>
      <c r="G336" s="61" t="s">
        <v>7</v>
      </c>
      <c r="H336" s="61" t="s">
        <v>7</v>
      </c>
      <c r="I336" s="62" t="s">
        <v>7</v>
      </c>
      <c r="J336" s="63" t="s">
        <v>2273</v>
      </c>
      <c r="K336" s="99" t="s">
        <v>2276</v>
      </c>
      <c r="L336" s="130">
        <v>495496127</v>
      </c>
      <c r="M336" s="109" t="s">
        <v>537</v>
      </c>
      <c r="N336" s="12" t="s">
        <v>953</v>
      </c>
      <c r="O336" s="100" t="s">
        <v>954</v>
      </c>
      <c r="P336" s="130">
        <v>495496101</v>
      </c>
      <c r="Q336" s="67"/>
      <c r="R336" s="68"/>
      <c r="S336" s="99"/>
      <c r="T336" s="65"/>
      <c r="U336" s="170">
        <v>75000</v>
      </c>
      <c r="V336" s="48">
        <f t="shared" si="77"/>
        <v>48.231511254019296</v>
      </c>
      <c r="W336" s="171">
        <f t="shared" si="78"/>
        <v>26.809404224261311</v>
      </c>
      <c r="X336" s="69">
        <v>167307</v>
      </c>
      <c r="Y336" s="48">
        <f t="shared" si="79"/>
        <v>107.59292604501607</v>
      </c>
      <c r="Z336" s="137">
        <f t="shared" si="80"/>
        <v>59.805346567313158</v>
      </c>
      <c r="AA336" s="69">
        <v>0</v>
      </c>
      <c r="AB336" s="48">
        <f t="shared" si="81"/>
        <v>0</v>
      </c>
      <c r="AC336" s="137">
        <f t="shared" si="82"/>
        <v>0</v>
      </c>
      <c r="AD336" s="70">
        <f t="shared" si="83"/>
        <v>242307</v>
      </c>
      <c r="AE336" s="71">
        <f t="shared" si="84"/>
        <v>155.82443729903537</v>
      </c>
      <c r="AF336" s="193">
        <f t="shared" si="85"/>
        <v>86.614750791574465</v>
      </c>
      <c r="AG336" s="185">
        <f t="shared" si="86"/>
        <v>2.5013626509755344E-3</v>
      </c>
      <c r="AH336" s="180">
        <f t="shared" si="90"/>
        <v>1.5306822488945042E-2</v>
      </c>
      <c r="AI336" s="189">
        <v>1555</v>
      </c>
      <c r="AJ336" s="125">
        <v>2797.5257999999999</v>
      </c>
      <c r="AK336" s="149">
        <v>672</v>
      </c>
      <c r="AL336" s="221">
        <v>447</v>
      </c>
      <c r="AM336" s="216">
        <v>82.513661202185801</v>
      </c>
      <c r="AN336" s="213">
        <v>19.270833333333336</v>
      </c>
      <c r="AO336" s="127">
        <v>19.373999999999999</v>
      </c>
      <c r="AP336" s="133">
        <v>3.1659999999999999</v>
      </c>
      <c r="AQ336" s="224">
        <f t="shared" si="87"/>
        <v>0.99743425272610653</v>
      </c>
      <c r="AR336" s="158">
        <v>1559</v>
      </c>
      <c r="AS336" s="229">
        <f t="shared" si="88"/>
        <v>0.51184990125082286</v>
      </c>
      <c r="AT336" s="230">
        <v>3038</v>
      </c>
      <c r="AU336" s="203">
        <v>13.37620578778135</v>
      </c>
      <c r="AV336" s="204">
        <v>65.016077170418015</v>
      </c>
      <c r="AW336" s="205">
        <v>21.60771704180064</v>
      </c>
      <c r="AX336" s="123">
        <v>6.0286999999999997</v>
      </c>
      <c r="AY336" s="281">
        <v>4.7619047619047619</v>
      </c>
      <c r="AZ336" s="282">
        <v>42.307692307692307</v>
      </c>
      <c r="BA336" s="283">
        <f t="shared" si="89"/>
        <v>52.930402930402934</v>
      </c>
      <c r="BB336" s="234">
        <v>79.729729729729726</v>
      </c>
      <c r="BC336" s="20">
        <v>2000</v>
      </c>
      <c r="BD336" s="263" t="s">
        <v>556</v>
      </c>
      <c r="BE336" s="261" t="s">
        <v>556</v>
      </c>
      <c r="BF336" s="260" t="s">
        <v>557</v>
      </c>
      <c r="BG336" s="256">
        <v>31.046676096181049</v>
      </c>
      <c r="BH336" s="248" t="s">
        <v>556</v>
      </c>
      <c r="BI336" s="249">
        <v>54.419677171406612</v>
      </c>
      <c r="BJ336" s="308" t="s">
        <v>556</v>
      </c>
      <c r="BK336" s="307" t="s">
        <v>556</v>
      </c>
      <c r="BL336" s="319" t="s">
        <v>1728</v>
      </c>
      <c r="BM336" s="320" t="s">
        <v>556</v>
      </c>
      <c r="BN336" s="321" t="s">
        <v>2277</v>
      </c>
      <c r="BO336" s="145" t="s">
        <v>556</v>
      </c>
      <c r="BP336" s="14">
        <v>3</v>
      </c>
      <c r="BQ336" s="14" t="s">
        <v>556</v>
      </c>
      <c r="BR336" s="72"/>
    </row>
    <row r="337" spans="1:70" s="56" customFormat="1" ht="13.95" customHeight="1" x14ac:dyDescent="0.3">
      <c r="A337" s="56" t="s">
        <v>461</v>
      </c>
      <c r="B337" s="77" t="s">
        <v>464</v>
      </c>
      <c r="C337" s="74" t="s">
        <v>13</v>
      </c>
      <c r="D337" s="58">
        <v>3</v>
      </c>
      <c r="E337" s="59" t="s">
        <v>490</v>
      </c>
      <c r="F337" s="60" t="s">
        <v>452</v>
      </c>
      <c r="G337" s="75" t="s">
        <v>11</v>
      </c>
      <c r="H337" s="75" t="s">
        <v>13</v>
      </c>
      <c r="I337" s="76" t="s">
        <v>13</v>
      </c>
      <c r="J337" s="63" t="s">
        <v>2280</v>
      </c>
      <c r="K337" s="99" t="s">
        <v>2278</v>
      </c>
      <c r="L337" s="130">
        <v>495809010</v>
      </c>
      <c r="M337" s="109" t="s">
        <v>564</v>
      </c>
      <c r="N337" s="12" t="s">
        <v>955</v>
      </c>
      <c r="O337" s="100" t="s">
        <v>956</v>
      </c>
      <c r="P337" s="131" t="s">
        <v>2279</v>
      </c>
      <c r="Q337" s="67"/>
      <c r="R337" s="68"/>
      <c r="S337" s="99"/>
      <c r="T337" s="65"/>
      <c r="U337" s="172">
        <v>0</v>
      </c>
      <c r="V337" s="135">
        <f t="shared" si="77"/>
        <v>0</v>
      </c>
      <c r="W337" s="173">
        <f t="shared" si="78"/>
        <v>0</v>
      </c>
      <c r="X337" s="69">
        <v>128002</v>
      </c>
      <c r="Y337" s="48">
        <f t="shared" si="79"/>
        <v>44.771598461000352</v>
      </c>
      <c r="Z337" s="137">
        <f t="shared" si="80"/>
        <v>119.87885307324775</v>
      </c>
      <c r="AA337" s="69">
        <v>0</v>
      </c>
      <c r="AB337" s="48">
        <f t="shared" si="81"/>
        <v>0</v>
      </c>
      <c r="AC337" s="137">
        <f t="shared" si="82"/>
        <v>0</v>
      </c>
      <c r="AD337" s="70">
        <f t="shared" si="83"/>
        <v>128002</v>
      </c>
      <c r="AE337" s="71">
        <f t="shared" si="84"/>
        <v>44.771598461000352</v>
      </c>
      <c r="AF337" s="193">
        <f t="shared" si="85"/>
        <v>119.87885307324775</v>
      </c>
      <c r="AG337" s="185">
        <f t="shared" si="86"/>
        <v>6.3081585885715701E-4</v>
      </c>
      <c r="AH337" s="180">
        <f t="shared" si="90"/>
        <v>5.2213746685702634E-3</v>
      </c>
      <c r="AI337" s="189">
        <v>2859</v>
      </c>
      <c r="AJ337" s="126">
        <v>1067.7612999999999</v>
      </c>
      <c r="AK337" s="150">
        <v>673</v>
      </c>
      <c r="AL337" s="221">
        <v>567</v>
      </c>
      <c r="AM337" s="216">
        <v>48.756660746003554</v>
      </c>
      <c r="AN337" s="213">
        <v>0.38729666924864448</v>
      </c>
      <c r="AO337" s="128">
        <v>40.582999999999998</v>
      </c>
      <c r="AP337" s="134">
        <v>4.9029999999999996</v>
      </c>
      <c r="AQ337" s="224">
        <f t="shared" si="87"/>
        <v>0.92704280155642027</v>
      </c>
      <c r="AR337" s="158">
        <v>3084</v>
      </c>
      <c r="AS337" s="229">
        <f t="shared" si="88"/>
        <v>0.96555217831813578</v>
      </c>
      <c r="AT337" s="230">
        <v>2961</v>
      </c>
      <c r="AU337" s="203">
        <v>14.900314795383002</v>
      </c>
      <c r="AV337" s="204">
        <v>68.660370759006653</v>
      </c>
      <c r="AW337" s="205">
        <v>16.439314445610353</v>
      </c>
      <c r="AX337" s="123">
        <v>5.9295999999999998</v>
      </c>
      <c r="AY337" s="281">
        <v>2.8213166144200628</v>
      </c>
      <c r="AZ337" s="282">
        <v>32.680250783699059</v>
      </c>
      <c r="BA337" s="283">
        <f t="shared" si="89"/>
        <v>64.498432601880893</v>
      </c>
      <c r="BB337" s="234">
        <v>64.817150063051699</v>
      </c>
      <c r="BC337" s="20">
        <v>2011</v>
      </c>
      <c r="BD337" s="263" t="s">
        <v>556</v>
      </c>
      <c r="BE337" s="261" t="s">
        <v>556</v>
      </c>
      <c r="BF337" s="259" t="s">
        <v>556</v>
      </c>
      <c r="BG337" s="256">
        <v>92.277440114408293</v>
      </c>
      <c r="BH337" s="248" t="s">
        <v>556</v>
      </c>
      <c r="BI337" s="249">
        <v>60.79039132119334</v>
      </c>
      <c r="BJ337" s="308" t="s">
        <v>556</v>
      </c>
      <c r="BK337" s="307" t="s">
        <v>556</v>
      </c>
      <c r="BL337" s="319" t="s">
        <v>1728</v>
      </c>
      <c r="BM337" s="320" t="s">
        <v>556</v>
      </c>
      <c r="BN337" s="321" t="s">
        <v>2283</v>
      </c>
      <c r="BO337" s="145" t="s">
        <v>556</v>
      </c>
      <c r="BP337" s="14">
        <v>2</v>
      </c>
      <c r="BQ337" s="14" t="s">
        <v>556</v>
      </c>
    </row>
    <row r="338" spans="1:70" s="56" customFormat="1" ht="13.95" customHeight="1" x14ac:dyDescent="0.3">
      <c r="A338" s="56" t="s">
        <v>459</v>
      </c>
      <c r="B338" s="57" t="s">
        <v>462</v>
      </c>
      <c r="C338" s="55" t="s">
        <v>91</v>
      </c>
      <c r="D338" s="58">
        <v>2</v>
      </c>
      <c r="E338" s="59" t="s">
        <v>491</v>
      </c>
      <c r="F338" s="60" t="s">
        <v>452</v>
      </c>
      <c r="G338" s="61" t="s">
        <v>11</v>
      </c>
      <c r="H338" s="61" t="s">
        <v>13</v>
      </c>
      <c r="I338" s="62" t="s">
        <v>13</v>
      </c>
      <c r="J338" s="63" t="s">
        <v>2281</v>
      </c>
      <c r="K338" s="99" t="s">
        <v>958</v>
      </c>
      <c r="L338" s="130">
        <v>495421936</v>
      </c>
      <c r="M338" s="109" t="s">
        <v>564</v>
      </c>
      <c r="N338" s="12" t="s">
        <v>957</v>
      </c>
      <c r="O338" s="100"/>
      <c r="P338" s="131">
        <v>603258068</v>
      </c>
      <c r="Q338" s="67"/>
      <c r="R338" s="68"/>
      <c r="S338" s="99"/>
      <c r="T338" s="65"/>
      <c r="U338" s="170">
        <v>570000</v>
      </c>
      <c r="V338" s="48">
        <f t="shared" si="77"/>
        <v>1128.7128712871288</v>
      </c>
      <c r="W338" s="171">
        <f t="shared" si="78"/>
        <v>1109.3804343827749</v>
      </c>
      <c r="X338" s="69">
        <v>291910</v>
      </c>
      <c r="Y338" s="48">
        <f t="shared" si="79"/>
        <v>578.03960396039599</v>
      </c>
      <c r="Z338" s="137">
        <f t="shared" si="80"/>
        <v>568.13902210644881</v>
      </c>
      <c r="AA338" s="69">
        <v>0</v>
      </c>
      <c r="AB338" s="48">
        <f t="shared" si="81"/>
        <v>0</v>
      </c>
      <c r="AC338" s="137">
        <f t="shared" si="82"/>
        <v>0</v>
      </c>
      <c r="AD338" s="70">
        <f t="shared" si="83"/>
        <v>861910</v>
      </c>
      <c r="AE338" s="71">
        <f t="shared" si="84"/>
        <v>1706.7524752475247</v>
      </c>
      <c r="AF338" s="193">
        <f t="shared" si="85"/>
        <v>1677.5194564892236</v>
      </c>
      <c r="AG338" s="185">
        <f t="shared" si="86"/>
        <v>3.6321533923303825E-2</v>
      </c>
      <c r="AH338" s="180">
        <f t="shared" si="90"/>
        <v>0.11913061506565308</v>
      </c>
      <c r="AI338" s="189">
        <v>505</v>
      </c>
      <c r="AJ338" s="125">
        <v>513.80029999999999</v>
      </c>
      <c r="AK338" s="149">
        <v>223</v>
      </c>
      <c r="AL338" s="221">
        <v>132</v>
      </c>
      <c r="AM338" s="216">
        <v>94.701986754966882</v>
      </c>
      <c r="AN338" s="213">
        <v>2.688172043010753</v>
      </c>
      <c r="AO338" s="127">
        <v>4.7460000000000004</v>
      </c>
      <c r="AP338" s="133">
        <v>1.4470000000000001</v>
      </c>
      <c r="AQ338" s="224">
        <f t="shared" si="87"/>
        <v>1.3988919667590027</v>
      </c>
      <c r="AR338" s="158">
        <v>361</v>
      </c>
      <c r="AS338" s="229">
        <f t="shared" si="88"/>
        <v>1.0954446854663775</v>
      </c>
      <c r="AT338" s="230">
        <v>461</v>
      </c>
      <c r="AU338" s="203">
        <v>17.227722772277225</v>
      </c>
      <c r="AV338" s="204">
        <v>67.128712871287135</v>
      </c>
      <c r="AW338" s="205">
        <v>15.643564356435643</v>
      </c>
      <c r="AX338" s="123">
        <v>4.8484999999999996</v>
      </c>
      <c r="AY338" s="281">
        <v>2.6785714285714284</v>
      </c>
      <c r="AZ338" s="282">
        <v>29.017857142857146</v>
      </c>
      <c r="BA338" s="283">
        <f t="shared" si="89"/>
        <v>68.303571428571416</v>
      </c>
      <c r="BB338" s="234">
        <v>88.495575221238951</v>
      </c>
      <c r="BC338" s="20">
        <v>2014</v>
      </c>
      <c r="BD338" s="263" t="s">
        <v>556</v>
      </c>
      <c r="BE338" s="261" t="s">
        <v>556</v>
      </c>
      <c r="BF338" s="260" t="s">
        <v>557</v>
      </c>
      <c r="BG338" s="256">
        <v>6.7685589519650664</v>
      </c>
      <c r="BH338" s="248" t="s">
        <v>556</v>
      </c>
      <c r="BI338" s="249">
        <v>67.599067599067595</v>
      </c>
      <c r="BJ338" s="309" t="s">
        <v>557</v>
      </c>
      <c r="BK338" s="307" t="s">
        <v>557</v>
      </c>
      <c r="BL338" s="319" t="s">
        <v>1728</v>
      </c>
      <c r="BM338" s="320" t="s">
        <v>557</v>
      </c>
      <c r="BN338" s="321" t="s">
        <v>1838</v>
      </c>
      <c r="BO338" s="145" t="s">
        <v>557</v>
      </c>
      <c r="BP338" s="14" t="s">
        <v>557</v>
      </c>
      <c r="BQ338" s="14" t="s">
        <v>557</v>
      </c>
    </row>
    <row r="339" spans="1:70" s="72" customFormat="1" ht="13.95" customHeight="1" x14ac:dyDescent="0.3">
      <c r="A339" s="56" t="s">
        <v>459</v>
      </c>
      <c r="B339" s="57" t="s">
        <v>462</v>
      </c>
      <c r="C339" s="55" t="s">
        <v>365</v>
      </c>
      <c r="D339" s="58">
        <v>1</v>
      </c>
      <c r="E339" s="59"/>
      <c r="F339" s="60" t="s">
        <v>455</v>
      </c>
      <c r="G339" s="61" t="s">
        <v>304</v>
      </c>
      <c r="H339" s="61" t="s">
        <v>304</v>
      </c>
      <c r="I339" s="62" t="s">
        <v>304</v>
      </c>
      <c r="J339" s="63" t="s">
        <v>2284</v>
      </c>
      <c r="K339" s="99" t="s">
        <v>1507</v>
      </c>
      <c r="L339" s="130">
        <v>494665669</v>
      </c>
      <c r="M339" s="109" t="s">
        <v>564</v>
      </c>
      <c r="N339" s="12" t="s">
        <v>1506</v>
      </c>
      <c r="O339" s="100"/>
      <c r="P339" s="131">
        <v>603836980</v>
      </c>
      <c r="Q339" s="84"/>
      <c r="R339" s="56"/>
      <c r="S339" s="105"/>
      <c r="T339" s="112"/>
      <c r="U339" s="170">
        <v>0</v>
      </c>
      <c r="V339" s="48">
        <f t="shared" si="77"/>
        <v>0</v>
      </c>
      <c r="W339" s="171">
        <f t="shared" si="78"/>
        <v>0</v>
      </c>
      <c r="X339" s="69">
        <v>0</v>
      </c>
      <c r="Y339" s="48">
        <f t="shared" si="79"/>
        <v>0</v>
      </c>
      <c r="Z339" s="137">
        <f t="shared" si="80"/>
        <v>0</v>
      </c>
      <c r="AA339" s="69">
        <v>0</v>
      </c>
      <c r="AB339" s="48">
        <f t="shared" si="81"/>
        <v>0</v>
      </c>
      <c r="AC339" s="137">
        <f t="shared" si="82"/>
        <v>0</v>
      </c>
      <c r="AD339" s="70">
        <f t="shared" si="83"/>
        <v>0</v>
      </c>
      <c r="AE339" s="71">
        <f t="shared" si="84"/>
        <v>0</v>
      </c>
      <c r="AF339" s="193">
        <f t="shared" si="85"/>
        <v>0</v>
      </c>
      <c r="AG339" s="185">
        <f t="shared" si="86"/>
        <v>0</v>
      </c>
      <c r="AH339" s="180">
        <f t="shared" si="90"/>
        <v>0</v>
      </c>
      <c r="AI339" s="189">
        <v>141</v>
      </c>
      <c r="AJ339" s="125">
        <v>607.30560000000003</v>
      </c>
      <c r="AK339" s="149">
        <v>142</v>
      </c>
      <c r="AL339" s="221">
        <v>45</v>
      </c>
      <c r="AM339" s="216">
        <v>94.444444444444443</v>
      </c>
      <c r="AN339" s="213">
        <v>50</v>
      </c>
      <c r="AO339" s="127">
        <v>0.91900000000000004</v>
      </c>
      <c r="AP339" s="133">
        <v>0</v>
      </c>
      <c r="AQ339" s="224">
        <f t="shared" si="87"/>
        <v>0.8597560975609756</v>
      </c>
      <c r="AR339" s="158">
        <v>164</v>
      </c>
      <c r="AS339" s="229">
        <f t="shared" si="88"/>
        <v>0.29872881355932202</v>
      </c>
      <c r="AT339" s="230">
        <v>472</v>
      </c>
      <c r="AU339" s="203">
        <v>17.730496453900709</v>
      </c>
      <c r="AV339" s="204">
        <v>56.028368794326241</v>
      </c>
      <c r="AW339" s="205">
        <v>26.24113475177305</v>
      </c>
      <c r="AX339" s="123">
        <v>1.2658</v>
      </c>
      <c r="AY339" s="281">
        <v>6.3829787234042552</v>
      </c>
      <c r="AZ339" s="282">
        <v>36.170212765957451</v>
      </c>
      <c r="BA339" s="283">
        <f t="shared" si="89"/>
        <v>57.446808510638299</v>
      </c>
      <c r="BB339" s="234">
        <v>95.833333333333343</v>
      </c>
      <c r="BC339" s="120" t="s">
        <v>1811</v>
      </c>
      <c r="BD339" s="263" t="s">
        <v>556</v>
      </c>
      <c r="BE339" s="262" t="s">
        <v>557</v>
      </c>
      <c r="BF339" s="260" t="s">
        <v>557</v>
      </c>
      <c r="BG339" s="256">
        <v>0</v>
      </c>
      <c r="BH339" s="254" t="s">
        <v>557</v>
      </c>
      <c r="BI339" s="249">
        <v>0</v>
      </c>
      <c r="BJ339" s="309" t="s">
        <v>557</v>
      </c>
      <c r="BK339" s="307" t="s">
        <v>557</v>
      </c>
      <c r="BL339" s="319" t="s">
        <v>1728</v>
      </c>
      <c r="BM339" s="320" t="s">
        <v>557</v>
      </c>
      <c r="BN339" s="321" t="s">
        <v>1838</v>
      </c>
      <c r="BO339" s="145" t="s">
        <v>557</v>
      </c>
      <c r="BP339" s="14" t="s">
        <v>557</v>
      </c>
      <c r="BQ339" s="14" t="s">
        <v>557</v>
      </c>
      <c r="BR339" s="56"/>
    </row>
    <row r="340" spans="1:70" s="56" customFormat="1" ht="13.95" customHeight="1" x14ac:dyDescent="0.3">
      <c r="A340" s="56" t="s">
        <v>459</v>
      </c>
      <c r="B340" s="57" t="s">
        <v>462</v>
      </c>
      <c r="C340" s="55" t="s">
        <v>189</v>
      </c>
      <c r="D340" s="58">
        <v>1</v>
      </c>
      <c r="E340" s="59"/>
      <c r="F340" s="60" t="s">
        <v>453</v>
      </c>
      <c r="G340" s="61" t="s">
        <v>117</v>
      </c>
      <c r="H340" s="61" t="s">
        <v>117</v>
      </c>
      <c r="I340" s="62" t="s">
        <v>117</v>
      </c>
      <c r="J340" s="63" t="s">
        <v>2282</v>
      </c>
      <c r="K340" s="99" t="s">
        <v>1156</v>
      </c>
      <c r="L340" s="130">
        <v>493691542</v>
      </c>
      <c r="M340" s="109" t="s">
        <v>564</v>
      </c>
      <c r="N340" s="12" t="s">
        <v>1155</v>
      </c>
      <c r="O340" s="100"/>
      <c r="P340" s="131">
        <v>603802770</v>
      </c>
      <c r="Q340" s="67"/>
      <c r="R340" s="68"/>
      <c r="S340" s="99"/>
      <c r="T340" s="65"/>
      <c r="U340" s="170">
        <v>498000</v>
      </c>
      <c r="V340" s="48">
        <f t="shared" si="77"/>
        <v>1717.2413793103449</v>
      </c>
      <c r="W340" s="171">
        <f t="shared" si="78"/>
        <v>1364.3293622582116</v>
      </c>
      <c r="X340" s="69">
        <v>119501</v>
      </c>
      <c r="Y340" s="48">
        <f t="shared" si="79"/>
        <v>412.07241379310346</v>
      </c>
      <c r="Z340" s="137">
        <f t="shared" si="80"/>
        <v>327.38699421529827</v>
      </c>
      <c r="AA340" s="69">
        <v>0</v>
      </c>
      <c r="AB340" s="48">
        <f t="shared" si="81"/>
        <v>0</v>
      </c>
      <c r="AC340" s="137">
        <f t="shared" si="82"/>
        <v>0</v>
      </c>
      <c r="AD340" s="70">
        <f t="shared" si="83"/>
        <v>617501</v>
      </c>
      <c r="AE340" s="71">
        <f t="shared" si="84"/>
        <v>2129.3137931034485</v>
      </c>
      <c r="AF340" s="193">
        <f t="shared" si="85"/>
        <v>1691.7163564735099</v>
      </c>
      <c r="AG340" s="185">
        <f t="shared" si="86"/>
        <v>3.6185232932903599E-2</v>
      </c>
      <c r="AH340" s="180">
        <f t="shared" si="90"/>
        <v>0.24027276264591441</v>
      </c>
      <c r="AI340" s="189">
        <v>290</v>
      </c>
      <c r="AJ340" s="125">
        <v>365.0145</v>
      </c>
      <c r="AK340" s="149">
        <v>133</v>
      </c>
      <c r="AL340" s="221">
        <v>83</v>
      </c>
      <c r="AM340" s="216">
        <v>90.816326530612244</v>
      </c>
      <c r="AN340" s="213">
        <v>26.056338028169016</v>
      </c>
      <c r="AO340" s="127">
        <v>3.4129999999999998</v>
      </c>
      <c r="AP340" s="133">
        <v>0.51400000000000001</v>
      </c>
      <c r="AQ340" s="224">
        <f t="shared" si="87"/>
        <v>0.97972972972972971</v>
      </c>
      <c r="AR340" s="158">
        <v>296</v>
      </c>
      <c r="AS340" s="229">
        <f t="shared" si="88"/>
        <v>0.53703703703703709</v>
      </c>
      <c r="AT340" s="230">
        <v>540</v>
      </c>
      <c r="AU340" s="203">
        <v>14.482758620689657</v>
      </c>
      <c r="AV340" s="204">
        <v>69.310344827586221</v>
      </c>
      <c r="AW340" s="205">
        <v>16.206896551724135</v>
      </c>
      <c r="AX340" s="123">
        <v>5.4725999999999999</v>
      </c>
      <c r="AY340" s="281">
        <v>18.897637795275589</v>
      </c>
      <c r="AZ340" s="282">
        <v>25.984251968503933</v>
      </c>
      <c r="BA340" s="283">
        <f t="shared" si="89"/>
        <v>55.118110236220481</v>
      </c>
      <c r="BB340" s="234">
        <v>92.307692307692307</v>
      </c>
      <c r="BC340" s="20">
        <v>2015</v>
      </c>
      <c r="BD340" s="263" t="s">
        <v>556</v>
      </c>
      <c r="BE340" s="261" t="s">
        <v>556</v>
      </c>
      <c r="BF340" s="260" t="s">
        <v>557</v>
      </c>
      <c r="BG340" s="256">
        <v>55.160142348754448</v>
      </c>
      <c r="BH340" s="248" t="s">
        <v>556</v>
      </c>
      <c r="BI340" s="249">
        <v>66.292134831460672</v>
      </c>
      <c r="BJ340" s="308" t="s">
        <v>556</v>
      </c>
      <c r="BK340" s="307" t="s">
        <v>557</v>
      </c>
      <c r="BL340" s="319" t="s">
        <v>1728</v>
      </c>
      <c r="BM340" s="320" t="s">
        <v>556</v>
      </c>
      <c r="BN340" s="321" t="s">
        <v>1838</v>
      </c>
      <c r="BO340" s="145" t="s">
        <v>557</v>
      </c>
      <c r="BP340" s="14" t="s">
        <v>556</v>
      </c>
      <c r="BQ340" s="14" t="s">
        <v>556</v>
      </c>
    </row>
    <row r="341" spans="1:70" s="56" customFormat="1" ht="13.95" customHeight="1" x14ac:dyDescent="0.3">
      <c r="A341" s="56" t="s">
        <v>459</v>
      </c>
      <c r="B341" s="57" t="s">
        <v>462</v>
      </c>
      <c r="C341" s="55" t="s">
        <v>190</v>
      </c>
      <c r="D341" s="58">
        <v>1</v>
      </c>
      <c r="E341" s="59"/>
      <c r="F341" s="60" t="s">
        <v>453</v>
      </c>
      <c r="G341" s="61" t="s">
        <v>113</v>
      </c>
      <c r="H341" s="61" t="s">
        <v>113</v>
      </c>
      <c r="I341" s="62" t="s">
        <v>113</v>
      </c>
      <c r="J341" s="63" t="s">
        <v>2285</v>
      </c>
      <c r="K341" s="99" t="s">
        <v>1158</v>
      </c>
      <c r="L341" s="130">
        <v>493522024</v>
      </c>
      <c r="M341" s="109" t="s">
        <v>564</v>
      </c>
      <c r="N341" s="12" t="s">
        <v>1157</v>
      </c>
      <c r="O341" s="100"/>
      <c r="P341" s="131">
        <v>724180456</v>
      </c>
      <c r="Q341" s="67"/>
      <c r="R341" s="68"/>
      <c r="S341" s="99"/>
      <c r="T341" s="65"/>
      <c r="U341" s="170">
        <v>86000</v>
      </c>
      <c r="V341" s="48">
        <f t="shared" si="77"/>
        <v>860</v>
      </c>
      <c r="W341" s="171">
        <f t="shared" si="78"/>
        <v>276.49523640503469</v>
      </c>
      <c r="X341" s="69">
        <v>0</v>
      </c>
      <c r="Y341" s="48">
        <f t="shared" si="79"/>
        <v>0</v>
      </c>
      <c r="Z341" s="137">
        <f t="shared" si="80"/>
        <v>0</v>
      </c>
      <c r="AA341" s="69">
        <v>0</v>
      </c>
      <c r="AB341" s="48">
        <f t="shared" si="81"/>
        <v>0</v>
      </c>
      <c r="AC341" s="137">
        <f t="shared" si="82"/>
        <v>0</v>
      </c>
      <c r="AD341" s="70">
        <f t="shared" si="83"/>
        <v>86000</v>
      </c>
      <c r="AE341" s="71">
        <f t="shared" si="84"/>
        <v>860</v>
      </c>
      <c r="AF341" s="193">
        <f t="shared" si="85"/>
        <v>276.49523640503469</v>
      </c>
      <c r="AG341" s="185">
        <f t="shared" si="86"/>
        <v>1.2816691505216096E-2</v>
      </c>
      <c r="AH341" s="180">
        <f t="shared" si="90"/>
        <v>0.11621621621621622</v>
      </c>
      <c r="AI341" s="189">
        <v>100</v>
      </c>
      <c r="AJ341" s="125">
        <v>311.03609999999998</v>
      </c>
      <c r="AK341" s="149">
        <v>71</v>
      </c>
      <c r="AL341" s="221">
        <v>32</v>
      </c>
      <c r="AM341" s="216">
        <v>100</v>
      </c>
      <c r="AN341" s="213">
        <v>39.726027397260275</v>
      </c>
      <c r="AO341" s="127">
        <v>1.3420000000000001</v>
      </c>
      <c r="AP341" s="133">
        <v>0.14799999999999999</v>
      </c>
      <c r="AQ341" s="224">
        <f t="shared" si="87"/>
        <v>1.4492753623188406</v>
      </c>
      <c r="AR341" s="158">
        <v>69</v>
      </c>
      <c r="AS341" s="229">
        <f t="shared" si="88"/>
        <v>0.43103448275862066</v>
      </c>
      <c r="AT341" s="230">
        <v>232</v>
      </c>
      <c r="AU341" s="203">
        <v>13</v>
      </c>
      <c r="AV341" s="204">
        <v>63</v>
      </c>
      <c r="AW341" s="205">
        <v>24</v>
      </c>
      <c r="AX341" s="123">
        <v>7.0175000000000001</v>
      </c>
      <c r="AY341" s="281">
        <v>9.5238095238095237</v>
      </c>
      <c r="AZ341" s="282">
        <v>47.619047619047613</v>
      </c>
      <c r="BA341" s="283">
        <f t="shared" si="89"/>
        <v>42.857142857142868</v>
      </c>
      <c r="BB341" s="234">
        <v>40</v>
      </c>
      <c r="BC341" s="120" t="s">
        <v>1811</v>
      </c>
      <c r="BD341" s="264" t="s">
        <v>557</v>
      </c>
      <c r="BE341" s="262" t="s">
        <v>557</v>
      </c>
      <c r="BF341" s="260" t="s">
        <v>557</v>
      </c>
      <c r="BG341" s="256">
        <v>0</v>
      </c>
      <c r="BH341" s="248" t="s">
        <v>556</v>
      </c>
      <c r="BI341" s="249">
        <v>67.045454545454547</v>
      </c>
      <c r="BJ341" s="309" t="s">
        <v>557</v>
      </c>
      <c r="BK341" s="307" t="s">
        <v>557</v>
      </c>
      <c r="BL341" s="319" t="s">
        <v>1728</v>
      </c>
      <c r="BM341" s="320" t="s">
        <v>557</v>
      </c>
      <c r="BN341" s="321" t="s">
        <v>557</v>
      </c>
      <c r="BO341" s="145" t="s">
        <v>557</v>
      </c>
      <c r="BP341" s="14" t="s">
        <v>556</v>
      </c>
      <c r="BQ341" s="14" t="s">
        <v>557</v>
      </c>
    </row>
    <row r="342" spans="1:70" s="72" customFormat="1" ht="13.95" customHeight="1" x14ac:dyDescent="0.3">
      <c r="A342" s="56" t="s">
        <v>461</v>
      </c>
      <c r="B342" s="77" t="s">
        <v>464</v>
      </c>
      <c r="C342" s="74" t="s">
        <v>159</v>
      </c>
      <c r="D342" s="58">
        <v>9</v>
      </c>
      <c r="E342" s="59" t="s">
        <v>603</v>
      </c>
      <c r="F342" s="60" t="s">
        <v>453</v>
      </c>
      <c r="G342" s="75" t="s">
        <v>113</v>
      </c>
      <c r="H342" s="75" t="s">
        <v>159</v>
      </c>
      <c r="I342" s="76" t="s">
        <v>159</v>
      </c>
      <c r="J342" s="63" t="s">
        <v>2274</v>
      </c>
      <c r="K342" s="99" t="s">
        <v>2286</v>
      </c>
      <c r="L342" s="130">
        <v>493544390</v>
      </c>
      <c r="M342" s="109" t="s">
        <v>564</v>
      </c>
      <c r="N342" s="12" t="s">
        <v>1159</v>
      </c>
      <c r="O342" s="100" t="s">
        <v>1160</v>
      </c>
      <c r="P342" s="131" t="s">
        <v>2287</v>
      </c>
      <c r="Q342" s="67"/>
      <c r="R342" s="68"/>
      <c r="S342" s="99"/>
      <c r="T342" s="65"/>
      <c r="U342" s="172">
        <v>0</v>
      </c>
      <c r="V342" s="135">
        <f t="shared" si="77"/>
        <v>0</v>
      </c>
      <c r="W342" s="173">
        <f t="shared" si="78"/>
        <v>0</v>
      </c>
      <c r="X342" s="69">
        <v>1302081</v>
      </c>
      <c r="Y342" s="48">
        <f t="shared" si="79"/>
        <v>536.4981458590853</v>
      </c>
      <c r="Z342" s="137">
        <f t="shared" si="80"/>
        <v>673.67611863764262</v>
      </c>
      <c r="AA342" s="69">
        <v>0</v>
      </c>
      <c r="AB342" s="48">
        <f t="shared" si="81"/>
        <v>0</v>
      </c>
      <c r="AC342" s="137">
        <f t="shared" si="82"/>
        <v>0</v>
      </c>
      <c r="AD342" s="70">
        <f t="shared" si="83"/>
        <v>1302081</v>
      </c>
      <c r="AE342" s="71">
        <f t="shared" si="84"/>
        <v>536.4981458590853</v>
      </c>
      <c r="AF342" s="193">
        <f t="shared" si="85"/>
        <v>673.67611863764262</v>
      </c>
      <c r="AG342" s="185">
        <f t="shared" si="86"/>
        <v>7.0703790182450035E-3</v>
      </c>
      <c r="AH342" s="180">
        <f t="shared" si="90"/>
        <v>4.068367442587096E-2</v>
      </c>
      <c r="AI342" s="189">
        <v>2427</v>
      </c>
      <c r="AJ342" s="126">
        <v>1932.7997</v>
      </c>
      <c r="AK342" s="150">
        <v>977</v>
      </c>
      <c r="AL342" s="221">
        <v>651</v>
      </c>
      <c r="AM342" s="216">
        <v>73.462783171521039</v>
      </c>
      <c r="AN342" s="213">
        <v>12.258064516129032</v>
      </c>
      <c r="AO342" s="128">
        <v>36.832000000000001</v>
      </c>
      <c r="AP342" s="134">
        <v>6.4009999999999998</v>
      </c>
      <c r="AQ342" s="224">
        <f t="shared" si="87"/>
        <v>1.0612155662439877</v>
      </c>
      <c r="AR342" s="158">
        <v>2287</v>
      </c>
      <c r="AS342" s="229">
        <f t="shared" si="88"/>
        <v>0.7834086507424145</v>
      </c>
      <c r="AT342" s="230">
        <v>3098</v>
      </c>
      <c r="AU342" s="203">
        <v>16.110424392253812</v>
      </c>
      <c r="AV342" s="204">
        <v>63.782447466007426</v>
      </c>
      <c r="AW342" s="205">
        <v>20.107128141738773</v>
      </c>
      <c r="AX342" s="123">
        <v>3.133</v>
      </c>
      <c r="AY342" s="281">
        <v>6.0287081339712918</v>
      </c>
      <c r="AZ342" s="282">
        <v>36.746411483253588</v>
      </c>
      <c r="BA342" s="283">
        <f t="shared" si="89"/>
        <v>57.224880382775119</v>
      </c>
      <c r="BB342" s="234">
        <v>75.646551724137936</v>
      </c>
      <c r="BC342" s="20">
        <v>1999</v>
      </c>
      <c r="BD342" s="263" t="s">
        <v>556</v>
      </c>
      <c r="BE342" s="261" t="s">
        <v>556</v>
      </c>
      <c r="BF342" s="259" t="s">
        <v>556</v>
      </c>
      <c r="BG342" s="256">
        <v>65.95559425337396</v>
      </c>
      <c r="BH342" s="248" t="s">
        <v>556</v>
      </c>
      <c r="BI342" s="249">
        <v>10.85308056872038</v>
      </c>
      <c r="BJ342" s="308" t="s">
        <v>556</v>
      </c>
      <c r="BK342" s="307" t="s">
        <v>556</v>
      </c>
      <c r="BL342" s="319" t="s">
        <v>1728</v>
      </c>
      <c r="BM342" s="320" t="s">
        <v>556</v>
      </c>
      <c r="BN342" s="321" t="s">
        <v>2288</v>
      </c>
      <c r="BO342" s="145" t="s">
        <v>556</v>
      </c>
      <c r="BP342" s="14" t="s">
        <v>556</v>
      </c>
      <c r="BQ342" s="14" t="s">
        <v>556</v>
      </c>
      <c r="BR342" s="56"/>
    </row>
    <row r="343" spans="1:70" s="56" customFormat="1" ht="13.95" customHeight="1" x14ac:dyDescent="0.3">
      <c r="A343" s="56" t="s">
        <v>459</v>
      </c>
      <c r="B343" s="77" t="s">
        <v>464</v>
      </c>
      <c r="C343" s="74" t="s">
        <v>307</v>
      </c>
      <c r="D343" s="58">
        <v>2</v>
      </c>
      <c r="E343" s="59" t="s">
        <v>709</v>
      </c>
      <c r="F343" s="60" t="s">
        <v>455</v>
      </c>
      <c r="G343" s="75" t="s">
        <v>528</v>
      </c>
      <c r="H343" s="75" t="s">
        <v>528</v>
      </c>
      <c r="I343" s="76" t="s">
        <v>528</v>
      </c>
      <c r="J343" s="63" t="s">
        <v>2275</v>
      </c>
      <c r="K343" s="99" t="s">
        <v>1509</v>
      </c>
      <c r="L343" s="130">
        <v>494596151</v>
      </c>
      <c r="M343" s="109" t="s">
        <v>564</v>
      </c>
      <c r="N343" s="12" t="s">
        <v>1508</v>
      </c>
      <c r="O343" s="100"/>
      <c r="P343" s="131" t="s">
        <v>2289</v>
      </c>
      <c r="Q343" s="84"/>
      <c r="S343" s="105"/>
      <c r="T343" s="112"/>
      <c r="U343" s="172">
        <v>0</v>
      </c>
      <c r="V343" s="135">
        <f t="shared" si="77"/>
        <v>0</v>
      </c>
      <c r="W343" s="173">
        <f t="shared" si="78"/>
        <v>0</v>
      </c>
      <c r="X343" s="69">
        <v>644253</v>
      </c>
      <c r="Y343" s="48">
        <f t="shared" si="79"/>
        <v>293.37568306010928</v>
      </c>
      <c r="Z343" s="137">
        <f t="shared" si="80"/>
        <v>508.84264486684617</v>
      </c>
      <c r="AA343" s="69">
        <v>0</v>
      </c>
      <c r="AB343" s="48">
        <f t="shared" si="81"/>
        <v>0</v>
      </c>
      <c r="AC343" s="137">
        <f t="shared" si="82"/>
        <v>0</v>
      </c>
      <c r="AD343" s="70">
        <f t="shared" si="83"/>
        <v>644253</v>
      </c>
      <c r="AE343" s="71">
        <f t="shared" si="84"/>
        <v>293.37568306010928</v>
      </c>
      <c r="AF343" s="193">
        <f t="shared" si="85"/>
        <v>508.84264486684617</v>
      </c>
      <c r="AG343" s="185">
        <f t="shared" si="86"/>
        <v>4.7481519696355532E-3</v>
      </c>
      <c r="AH343" s="180">
        <f t="shared" si="90"/>
        <v>3.7218544194107452E-2</v>
      </c>
      <c r="AI343" s="189">
        <v>2196</v>
      </c>
      <c r="AJ343" s="126">
        <v>1266.1143999999999</v>
      </c>
      <c r="AK343" s="150">
        <v>798</v>
      </c>
      <c r="AL343" s="221">
        <v>597</v>
      </c>
      <c r="AM343" s="216">
        <v>74.18967587034814</v>
      </c>
      <c r="AN343" s="213">
        <v>2.4801587301587302</v>
      </c>
      <c r="AO343" s="128">
        <v>27.137</v>
      </c>
      <c r="AP343" s="134">
        <v>3.4620000000000002</v>
      </c>
      <c r="AQ343" s="224">
        <f t="shared" si="87"/>
        <v>1.0527325023969318</v>
      </c>
      <c r="AR343" s="158">
        <v>2086</v>
      </c>
      <c r="AS343" s="229">
        <f t="shared" si="88"/>
        <v>1.0930811348929816</v>
      </c>
      <c r="AT343" s="230">
        <v>2009</v>
      </c>
      <c r="AU343" s="203">
        <v>16.438979963570127</v>
      </c>
      <c r="AV343" s="204">
        <v>64.116575591985438</v>
      </c>
      <c r="AW343" s="205">
        <v>19.444444444444446</v>
      </c>
      <c r="AX343" s="123">
        <v>2.7894000000000001</v>
      </c>
      <c r="AY343" s="281">
        <v>1.7580144777662874</v>
      </c>
      <c r="AZ343" s="282">
        <v>51.809720785935887</v>
      </c>
      <c r="BA343" s="283">
        <f t="shared" si="89"/>
        <v>46.432264736297832</v>
      </c>
      <c r="BB343" s="234">
        <v>53.934426229508198</v>
      </c>
      <c r="BC343" s="20">
        <v>2009</v>
      </c>
      <c r="BD343" s="263" t="s">
        <v>556</v>
      </c>
      <c r="BE343" s="261" t="s">
        <v>556</v>
      </c>
      <c r="BF343" s="259" t="s">
        <v>556</v>
      </c>
      <c r="BG343" s="256">
        <v>84.744969583528302</v>
      </c>
      <c r="BH343" s="248" t="s">
        <v>556</v>
      </c>
      <c r="BI343" s="249">
        <v>41.970985492746372</v>
      </c>
      <c r="BJ343" s="308" t="s">
        <v>556</v>
      </c>
      <c r="BK343" s="307" t="s">
        <v>556</v>
      </c>
      <c r="BL343" s="319" t="s">
        <v>1728</v>
      </c>
      <c r="BM343" s="320" t="s">
        <v>556</v>
      </c>
      <c r="BN343" s="321" t="s">
        <v>1803</v>
      </c>
      <c r="BO343" s="145" t="s">
        <v>556</v>
      </c>
      <c r="BP343" s="14" t="s">
        <v>556</v>
      </c>
      <c r="BQ343" s="14" t="s">
        <v>556</v>
      </c>
    </row>
    <row r="344" spans="1:70" s="56" customFormat="1" ht="13.95" customHeight="1" x14ac:dyDescent="0.3">
      <c r="A344" s="56" t="s">
        <v>459</v>
      </c>
      <c r="B344" s="57" t="s">
        <v>462</v>
      </c>
      <c r="C344" s="55" t="s">
        <v>92</v>
      </c>
      <c r="D344" s="58">
        <v>2</v>
      </c>
      <c r="E344" s="59" t="s">
        <v>492</v>
      </c>
      <c r="F344" s="60" t="s">
        <v>452</v>
      </c>
      <c r="G344" s="61" t="s">
        <v>11</v>
      </c>
      <c r="H344" s="61" t="s">
        <v>11</v>
      </c>
      <c r="I344" s="62" t="s">
        <v>11</v>
      </c>
      <c r="J344" s="63" t="s">
        <v>2290</v>
      </c>
      <c r="K344" s="99" t="s">
        <v>638</v>
      </c>
      <c r="L344" s="130">
        <v>491612800</v>
      </c>
      <c r="M344" s="109" t="s">
        <v>564</v>
      </c>
      <c r="N344" s="12" t="s">
        <v>639</v>
      </c>
      <c r="O344" s="100" t="s">
        <v>640</v>
      </c>
      <c r="P344" s="131">
        <v>605849282</v>
      </c>
      <c r="Q344" s="67" t="s">
        <v>564</v>
      </c>
      <c r="R344" s="68" t="s">
        <v>639</v>
      </c>
      <c r="S344" s="99" t="s">
        <v>640</v>
      </c>
      <c r="T344" s="131">
        <v>605849282</v>
      </c>
      <c r="U344" s="170">
        <f>475000+235007</f>
        <v>710007</v>
      </c>
      <c r="V344" s="48">
        <f t="shared" si="77"/>
        <v>3198.2297297297296</v>
      </c>
      <c r="W344" s="171">
        <f t="shared" si="78"/>
        <v>1476.7102215625853</v>
      </c>
      <c r="X344" s="69">
        <v>188131</v>
      </c>
      <c r="Y344" s="48">
        <f t="shared" si="79"/>
        <v>847.43693693693695</v>
      </c>
      <c r="Z344" s="137">
        <f t="shared" si="80"/>
        <v>391.28483337881278</v>
      </c>
      <c r="AA344" s="69">
        <v>250000</v>
      </c>
      <c r="AB344" s="48">
        <f t="shared" si="81"/>
        <v>1126.1261261261261</v>
      </c>
      <c r="AC344" s="137">
        <f t="shared" si="82"/>
        <v>519.96326147579714</v>
      </c>
      <c r="AD344" s="70">
        <f t="shared" si="83"/>
        <v>1148138</v>
      </c>
      <c r="AE344" s="71">
        <f t="shared" si="84"/>
        <v>5171.7927927927931</v>
      </c>
      <c r="AF344" s="193">
        <f t="shared" si="85"/>
        <v>2387.9583164171954</v>
      </c>
      <c r="AG344" s="185">
        <f t="shared" si="86"/>
        <v>7.2805199746353827E-2</v>
      </c>
      <c r="AH344" s="180">
        <f t="shared" si="90"/>
        <v>0.16401971428571427</v>
      </c>
      <c r="AI344" s="189">
        <v>222</v>
      </c>
      <c r="AJ344" s="125">
        <v>480.8032</v>
      </c>
      <c r="AK344" s="149">
        <v>88</v>
      </c>
      <c r="AL344" s="221">
        <v>56</v>
      </c>
      <c r="AM344" s="216">
        <v>92.753623188405797</v>
      </c>
      <c r="AN344" s="213">
        <v>14.444444444444446</v>
      </c>
      <c r="AO344" s="127">
        <v>3.1539999999999999</v>
      </c>
      <c r="AP344" s="133">
        <v>1.4</v>
      </c>
      <c r="AQ344" s="224">
        <f t="shared" si="87"/>
        <v>1.168421052631579</v>
      </c>
      <c r="AR344" s="158">
        <v>190</v>
      </c>
      <c r="AS344" s="229">
        <f t="shared" si="88"/>
        <v>0.578125</v>
      </c>
      <c r="AT344" s="230">
        <v>384</v>
      </c>
      <c r="AU344" s="203">
        <v>20.72072072072072</v>
      </c>
      <c r="AV344" s="204">
        <v>63.963963963963963</v>
      </c>
      <c r="AW344" s="205">
        <v>15.315315315315313</v>
      </c>
      <c r="AX344" s="123">
        <v>7.3826000000000001</v>
      </c>
      <c r="AY344" s="281">
        <v>12.195121951219512</v>
      </c>
      <c r="AZ344" s="282">
        <v>28.04878048780488</v>
      </c>
      <c r="BA344" s="283">
        <f t="shared" si="89"/>
        <v>59.756097560975618</v>
      </c>
      <c r="BB344" s="234">
        <v>73.584905660377359</v>
      </c>
      <c r="BC344" s="20">
        <v>2015</v>
      </c>
      <c r="BD344" s="263" t="s">
        <v>556</v>
      </c>
      <c r="BE344" s="261" t="s">
        <v>556</v>
      </c>
      <c r="BF344" s="259" t="s">
        <v>556</v>
      </c>
      <c r="BG344" s="256">
        <v>29.166666666666668</v>
      </c>
      <c r="BH344" s="254" t="s">
        <v>557</v>
      </c>
      <c r="BI344" s="249">
        <v>0</v>
      </c>
      <c r="BJ344" s="309" t="s">
        <v>557</v>
      </c>
      <c r="BK344" s="307" t="s">
        <v>557</v>
      </c>
      <c r="BL344" s="319" t="s">
        <v>1728</v>
      </c>
      <c r="BM344" s="320" t="s">
        <v>556</v>
      </c>
      <c r="BN344" s="321" t="s">
        <v>557</v>
      </c>
      <c r="BO344" s="145" t="s">
        <v>557</v>
      </c>
      <c r="BP344" s="14" t="s">
        <v>557</v>
      </c>
      <c r="BQ344" s="14" t="s">
        <v>557</v>
      </c>
      <c r="BR344" s="72"/>
    </row>
    <row r="345" spans="1:70" s="72" customFormat="1" ht="13.95" customHeight="1" x14ac:dyDescent="0.3">
      <c r="A345" s="3" t="s">
        <v>459</v>
      </c>
      <c r="B345" s="57" t="s">
        <v>462</v>
      </c>
      <c r="C345" s="55" t="s">
        <v>435</v>
      </c>
      <c r="D345" s="58">
        <v>1</v>
      </c>
      <c r="E345" s="59"/>
      <c r="F345" s="60" t="s">
        <v>456</v>
      </c>
      <c r="G345" s="61" t="s">
        <v>531</v>
      </c>
      <c r="H345" s="61" t="s">
        <v>531</v>
      </c>
      <c r="I345" s="62" t="s">
        <v>531</v>
      </c>
      <c r="J345" s="117" t="s">
        <v>2291</v>
      </c>
      <c r="K345" s="99" t="s">
        <v>1677</v>
      </c>
      <c r="L345" s="131"/>
      <c r="M345" s="109" t="s">
        <v>564</v>
      </c>
      <c r="N345" s="12" t="s">
        <v>1637</v>
      </c>
      <c r="O345" s="100"/>
      <c r="P345" s="131">
        <v>605712663</v>
      </c>
      <c r="Q345" s="82"/>
      <c r="R345" s="80"/>
      <c r="S345" s="116"/>
      <c r="T345" s="241"/>
      <c r="U345" s="170">
        <v>0</v>
      </c>
      <c r="V345" s="48">
        <f t="shared" si="77"/>
        <v>0</v>
      </c>
      <c r="W345" s="171">
        <f t="shared" si="78"/>
        <v>0</v>
      </c>
      <c r="X345" s="69">
        <v>200000</v>
      </c>
      <c r="Y345" s="48">
        <f t="shared" si="79"/>
        <v>3508.7719298245615</v>
      </c>
      <c r="Z345" s="137">
        <f t="shared" si="80"/>
        <v>740.37905186318244</v>
      </c>
      <c r="AA345" s="69">
        <v>0</v>
      </c>
      <c r="AB345" s="48">
        <f t="shared" si="81"/>
        <v>0</v>
      </c>
      <c r="AC345" s="137">
        <f t="shared" si="82"/>
        <v>0</v>
      </c>
      <c r="AD345" s="70">
        <f t="shared" si="83"/>
        <v>200000</v>
      </c>
      <c r="AE345" s="71">
        <f t="shared" si="84"/>
        <v>3508.7719298245615</v>
      </c>
      <c r="AF345" s="193">
        <f t="shared" si="85"/>
        <v>740.37905186318244</v>
      </c>
      <c r="AG345" s="185">
        <f t="shared" si="86"/>
        <v>3.9100684261974585E-2</v>
      </c>
      <c r="AH345" s="180">
        <f t="shared" si="90"/>
        <v>10</v>
      </c>
      <c r="AI345" s="189">
        <v>57</v>
      </c>
      <c r="AJ345" s="125">
        <v>270.13189999999997</v>
      </c>
      <c r="AK345" s="149">
        <v>29</v>
      </c>
      <c r="AL345" s="221">
        <v>23</v>
      </c>
      <c r="AM345" s="216">
        <v>88</v>
      </c>
      <c r="AN345" s="213">
        <v>12.903225806451614</v>
      </c>
      <c r="AO345" s="127">
        <v>1.0229999999999999</v>
      </c>
      <c r="AP345" s="133">
        <v>4.0000000000000001E-3</v>
      </c>
      <c r="AQ345" s="224">
        <f t="shared" si="87"/>
        <v>0.76</v>
      </c>
      <c r="AR345" s="158">
        <v>75</v>
      </c>
      <c r="AS345" s="229">
        <f t="shared" si="88"/>
        <v>0.36305732484076431</v>
      </c>
      <c r="AT345" s="230">
        <v>157</v>
      </c>
      <c r="AU345" s="203">
        <v>8.7719298245614024</v>
      </c>
      <c r="AV345" s="204">
        <v>63.15789473684211</v>
      </c>
      <c r="AW345" s="205">
        <v>28.07017543859649</v>
      </c>
      <c r="AX345" s="123">
        <v>12.5</v>
      </c>
      <c r="AY345" s="281">
        <v>7.4074074074074066</v>
      </c>
      <c r="AZ345" s="282">
        <v>33.333333333333329</v>
      </c>
      <c r="BA345" s="283">
        <f t="shared" si="89"/>
        <v>59.259259259259267</v>
      </c>
      <c r="BB345" s="234">
        <v>63.636363636363633</v>
      </c>
      <c r="BC345" s="19">
        <v>2014</v>
      </c>
      <c r="BD345" s="263" t="s">
        <v>556</v>
      </c>
      <c r="BE345" s="262" t="s">
        <v>557</v>
      </c>
      <c r="BF345" s="260" t="s">
        <v>557</v>
      </c>
      <c r="BG345" s="256">
        <v>0</v>
      </c>
      <c r="BH345" s="248" t="s">
        <v>556</v>
      </c>
      <c r="BI345" s="249">
        <v>9.0909090909090917</v>
      </c>
      <c r="BJ345" s="309" t="s">
        <v>557</v>
      </c>
      <c r="BK345" s="307" t="s">
        <v>557</v>
      </c>
      <c r="BL345" s="319" t="s">
        <v>557</v>
      </c>
      <c r="BM345" s="320" t="s">
        <v>557</v>
      </c>
      <c r="BN345" s="321" t="s">
        <v>557</v>
      </c>
      <c r="BO345" s="21" t="s">
        <v>557</v>
      </c>
      <c r="BP345" s="10" t="s">
        <v>557</v>
      </c>
      <c r="BQ345" s="10" t="s">
        <v>557</v>
      </c>
    </row>
    <row r="346" spans="1:70" s="56" customFormat="1" ht="13.95" customHeight="1" x14ac:dyDescent="0.3">
      <c r="A346" s="56" t="s">
        <v>459</v>
      </c>
      <c r="B346" s="57" t="s">
        <v>462</v>
      </c>
      <c r="C346" s="55" t="s">
        <v>191</v>
      </c>
      <c r="D346" s="58">
        <v>6</v>
      </c>
      <c r="E346" s="59" t="s">
        <v>604</v>
      </c>
      <c r="F346" s="60" t="s">
        <v>453</v>
      </c>
      <c r="G346" s="61" t="s">
        <v>169</v>
      </c>
      <c r="H346" s="61" t="s">
        <v>169</v>
      </c>
      <c r="I346" s="62" t="s">
        <v>191</v>
      </c>
      <c r="J346" s="63" t="s">
        <v>2293</v>
      </c>
      <c r="K346" s="99" t="s">
        <v>2292</v>
      </c>
      <c r="L346" s="130">
        <v>493798282</v>
      </c>
      <c r="M346" s="109" t="s">
        <v>564</v>
      </c>
      <c r="N346" s="12" t="s">
        <v>1161</v>
      </c>
      <c r="O346" s="100" t="s">
        <v>1162</v>
      </c>
      <c r="P346" s="131">
        <v>606690465</v>
      </c>
      <c r="Q346" s="67"/>
      <c r="R346" s="68"/>
      <c r="S346" s="99"/>
      <c r="T346" s="65"/>
      <c r="U346" s="172">
        <v>0</v>
      </c>
      <c r="V346" s="135">
        <f t="shared" si="77"/>
        <v>0</v>
      </c>
      <c r="W346" s="173">
        <f t="shared" si="78"/>
        <v>0</v>
      </c>
      <c r="X346" s="69">
        <f>138673+44000</f>
        <v>182673</v>
      </c>
      <c r="Y346" s="48">
        <f t="shared" si="79"/>
        <v>87.781355117731863</v>
      </c>
      <c r="Z346" s="137">
        <f t="shared" si="80"/>
        <v>84.157076624573008</v>
      </c>
      <c r="AA346" s="69">
        <v>0</v>
      </c>
      <c r="AB346" s="48">
        <f t="shared" si="81"/>
        <v>0</v>
      </c>
      <c r="AC346" s="137">
        <f t="shared" si="82"/>
        <v>0</v>
      </c>
      <c r="AD346" s="70">
        <f t="shared" si="83"/>
        <v>182673</v>
      </c>
      <c r="AE346" s="71">
        <f t="shared" si="84"/>
        <v>87.781355117731863</v>
      </c>
      <c r="AF346" s="193">
        <f t="shared" si="85"/>
        <v>84.157076624573008</v>
      </c>
      <c r="AG346" s="185">
        <f t="shared" si="86"/>
        <v>1.6017624621859792E-3</v>
      </c>
      <c r="AH346" s="180">
        <f t="shared" si="90"/>
        <v>1.4544028662420381E-2</v>
      </c>
      <c r="AI346" s="189">
        <v>2081</v>
      </c>
      <c r="AJ346" s="125">
        <v>2170.6196</v>
      </c>
      <c r="AK346" s="149">
        <v>930</v>
      </c>
      <c r="AL346" s="221">
        <v>544</v>
      </c>
      <c r="AM346" s="216">
        <v>71.763255240443897</v>
      </c>
      <c r="AN346" s="213">
        <v>15.996784565916395</v>
      </c>
      <c r="AO346" s="127">
        <v>22.809000000000001</v>
      </c>
      <c r="AP346" s="133">
        <v>2.512</v>
      </c>
      <c r="AQ346" s="224">
        <f t="shared" si="87"/>
        <v>0.97837329572167375</v>
      </c>
      <c r="AR346" s="158">
        <v>2127</v>
      </c>
      <c r="AS346" s="229">
        <f t="shared" si="88"/>
        <v>0.52897813929842397</v>
      </c>
      <c r="AT346" s="230">
        <v>3934</v>
      </c>
      <c r="AU346" s="203">
        <v>15.185007208073042</v>
      </c>
      <c r="AV346" s="204">
        <v>65.209034118212401</v>
      </c>
      <c r="AW346" s="205">
        <v>19.605958673714561</v>
      </c>
      <c r="AX346" s="123">
        <v>4.9156000000000004</v>
      </c>
      <c r="AY346" s="281">
        <v>3.6231884057971016</v>
      </c>
      <c r="AZ346" s="282">
        <v>43.59903381642512</v>
      </c>
      <c r="BA346" s="283">
        <f t="shared" si="89"/>
        <v>52.777777777777786</v>
      </c>
      <c r="BB346" s="234">
        <v>69.907407407407405</v>
      </c>
      <c r="BC346" s="20">
        <v>2015</v>
      </c>
      <c r="BD346" s="263" t="s">
        <v>556</v>
      </c>
      <c r="BE346" s="261" t="s">
        <v>556</v>
      </c>
      <c r="BF346" s="259" t="s">
        <v>556</v>
      </c>
      <c r="BG346" s="256">
        <v>54.809160305343511</v>
      </c>
      <c r="BH346" s="248" t="s">
        <v>556</v>
      </c>
      <c r="BI346" s="249">
        <v>56.524035921817216</v>
      </c>
      <c r="BJ346" s="308" t="s">
        <v>556</v>
      </c>
      <c r="BK346" s="307" t="s">
        <v>556</v>
      </c>
      <c r="BL346" s="319" t="s">
        <v>1728</v>
      </c>
      <c r="BM346" s="320" t="s">
        <v>556</v>
      </c>
      <c r="BN346" s="321" t="s">
        <v>2234</v>
      </c>
      <c r="BO346" s="145" t="s">
        <v>556</v>
      </c>
      <c r="BP346" s="14">
        <v>6</v>
      </c>
      <c r="BQ346" s="14" t="s">
        <v>556</v>
      </c>
    </row>
    <row r="347" spans="1:70" s="72" customFormat="1" ht="13.95" customHeight="1" x14ac:dyDescent="0.3">
      <c r="A347" s="56" t="s">
        <v>459</v>
      </c>
      <c r="B347" s="57" t="s">
        <v>462</v>
      </c>
      <c r="C347" s="55" t="s">
        <v>93</v>
      </c>
      <c r="D347" s="58">
        <v>1</v>
      </c>
      <c r="E347" s="59"/>
      <c r="F347" s="60" t="s">
        <v>452</v>
      </c>
      <c r="G347" s="61" t="s">
        <v>11</v>
      </c>
      <c r="H347" s="61" t="s">
        <v>524</v>
      </c>
      <c r="I347" s="62" t="s">
        <v>524</v>
      </c>
      <c r="J347" s="63" t="s">
        <v>2295</v>
      </c>
      <c r="K347" s="101" t="s">
        <v>2294</v>
      </c>
      <c r="L347" s="130">
        <v>495499484</v>
      </c>
      <c r="M347" s="109" t="s">
        <v>564</v>
      </c>
      <c r="N347" s="12" t="s">
        <v>959</v>
      </c>
      <c r="O347" s="100" t="s">
        <v>960</v>
      </c>
      <c r="P347" s="131">
        <v>737269109</v>
      </c>
      <c r="Q347" s="67"/>
      <c r="R347" s="68"/>
      <c r="S347" s="99"/>
      <c r="T347" s="65"/>
      <c r="U347" s="170">
        <v>0</v>
      </c>
      <c r="V347" s="48">
        <f t="shared" si="77"/>
        <v>0</v>
      </c>
      <c r="W347" s="171">
        <f t="shared" si="78"/>
        <v>0</v>
      </c>
      <c r="X347" s="69">
        <v>0</v>
      </c>
      <c r="Y347" s="48">
        <f t="shared" si="79"/>
        <v>0</v>
      </c>
      <c r="Z347" s="137">
        <f t="shared" si="80"/>
        <v>0</v>
      </c>
      <c r="AA347" s="69">
        <v>0</v>
      </c>
      <c r="AB347" s="48">
        <f t="shared" si="81"/>
        <v>0</v>
      </c>
      <c r="AC347" s="137">
        <f t="shared" si="82"/>
        <v>0</v>
      </c>
      <c r="AD347" s="70">
        <f t="shared" si="83"/>
        <v>0</v>
      </c>
      <c r="AE347" s="71">
        <f t="shared" si="84"/>
        <v>0</v>
      </c>
      <c r="AF347" s="193">
        <f t="shared" si="85"/>
        <v>0</v>
      </c>
      <c r="AG347" s="185">
        <f t="shared" si="86"/>
        <v>0</v>
      </c>
      <c r="AH347" s="180">
        <f t="shared" si="90"/>
        <v>0</v>
      </c>
      <c r="AI347" s="189">
        <v>131</v>
      </c>
      <c r="AJ347" s="125">
        <v>341.88760000000002</v>
      </c>
      <c r="AK347" s="149">
        <v>74</v>
      </c>
      <c r="AL347" s="221">
        <v>41</v>
      </c>
      <c r="AM347" s="216">
        <v>88</v>
      </c>
      <c r="AN347" s="213">
        <v>20.253164556962023</v>
      </c>
      <c r="AO347" s="127">
        <v>1.431</v>
      </c>
      <c r="AP347" s="133">
        <v>6.0000000000000001E-3</v>
      </c>
      <c r="AQ347" s="224">
        <f t="shared" si="87"/>
        <v>1.1801801801801801</v>
      </c>
      <c r="AR347" s="158">
        <v>111</v>
      </c>
      <c r="AS347" s="229">
        <f t="shared" si="88"/>
        <v>0.45644599303135891</v>
      </c>
      <c r="AT347" s="230">
        <v>287</v>
      </c>
      <c r="AU347" s="203">
        <v>9.9236641221374047</v>
      </c>
      <c r="AV347" s="204">
        <v>74.045801526717554</v>
      </c>
      <c r="AW347" s="205">
        <v>16.030534351145036</v>
      </c>
      <c r="AX347" s="123">
        <v>11.1111</v>
      </c>
      <c r="AY347" s="281">
        <v>3.125</v>
      </c>
      <c r="AZ347" s="282">
        <v>28.125</v>
      </c>
      <c r="BA347" s="283">
        <f t="shared" si="89"/>
        <v>68.75</v>
      </c>
      <c r="BB347" s="234">
        <v>100</v>
      </c>
      <c r="BC347" s="20" t="s">
        <v>557</v>
      </c>
      <c r="BD347" s="263" t="s">
        <v>556</v>
      </c>
      <c r="BE347" s="261" t="s">
        <v>556</v>
      </c>
      <c r="BF347" s="260" t="s">
        <v>557</v>
      </c>
      <c r="BG347" s="256">
        <v>4.6875</v>
      </c>
      <c r="BH347" s="248" t="s">
        <v>556</v>
      </c>
      <c r="BI347" s="249">
        <v>67.479674796747972</v>
      </c>
      <c r="BJ347" s="309" t="s">
        <v>557</v>
      </c>
      <c r="BK347" s="307" t="s">
        <v>557</v>
      </c>
      <c r="BL347" s="319" t="s">
        <v>1728</v>
      </c>
      <c r="BM347" s="320" t="s">
        <v>556</v>
      </c>
      <c r="BN347" s="321" t="s">
        <v>557</v>
      </c>
      <c r="BO347" s="145" t="s">
        <v>557</v>
      </c>
      <c r="BP347" s="14" t="s">
        <v>556</v>
      </c>
      <c r="BQ347" s="14" t="s">
        <v>557</v>
      </c>
      <c r="BR347" s="56"/>
    </row>
    <row r="348" spans="1:70" s="56" customFormat="1" ht="13.95" customHeight="1" x14ac:dyDescent="0.3">
      <c r="A348" s="3" t="s">
        <v>459</v>
      </c>
      <c r="B348" s="57" t="s">
        <v>462</v>
      </c>
      <c r="C348" s="55" t="s">
        <v>436</v>
      </c>
      <c r="D348" s="58">
        <v>3</v>
      </c>
      <c r="E348" s="59" t="s">
        <v>738</v>
      </c>
      <c r="F348" s="60" t="s">
        <v>456</v>
      </c>
      <c r="G348" s="61" t="s">
        <v>378</v>
      </c>
      <c r="H348" s="61" t="s">
        <v>378</v>
      </c>
      <c r="I348" s="62" t="s">
        <v>378</v>
      </c>
      <c r="J348" s="117" t="s">
        <v>2297</v>
      </c>
      <c r="K348" s="100" t="s">
        <v>2296</v>
      </c>
      <c r="L348" s="131">
        <v>499898332</v>
      </c>
      <c r="M348" s="109" t="s">
        <v>564</v>
      </c>
      <c r="N348" s="12" t="s">
        <v>1638</v>
      </c>
      <c r="O348" s="100" t="s">
        <v>1639</v>
      </c>
      <c r="P348" s="131"/>
      <c r="Q348" s="84"/>
      <c r="R348" s="3"/>
      <c r="S348" s="2"/>
      <c r="T348" s="241"/>
      <c r="U348" s="170">
        <v>400000</v>
      </c>
      <c r="V348" s="48">
        <f t="shared" si="77"/>
        <v>704.22535211267609</v>
      </c>
      <c r="W348" s="171">
        <f t="shared" si="78"/>
        <v>223.38123576398365</v>
      </c>
      <c r="X348" s="69">
        <v>141018</v>
      </c>
      <c r="Y348" s="48">
        <f t="shared" si="79"/>
        <v>248.27112676056339</v>
      </c>
      <c r="Z348" s="137">
        <f t="shared" si="80"/>
        <v>78.751937762413618</v>
      </c>
      <c r="AA348" s="69">
        <v>0</v>
      </c>
      <c r="AB348" s="48">
        <f t="shared" si="81"/>
        <v>0</v>
      </c>
      <c r="AC348" s="137">
        <f t="shared" si="82"/>
        <v>0</v>
      </c>
      <c r="AD348" s="70">
        <f t="shared" si="83"/>
        <v>541018</v>
      </c>
      <c r="AE348" s="71">
        <f t="shared" si="84"/>
        <v>952.49647887323943</v>
      </c>
      <c r="AF348" s="193">
        <f t="shared" si="85"/>
        <v>302.13317352639729</v>
      </c>
      <c r="AG348" s="185">
        <f t="shared" si="86"/>
        <v>1.6687785317705119E-2</v>
      </c>
      <c r="AH348" s="180">
        <f t="shared" si="90"/>
        <v>0.3220345238095238</v>
      </c>
      <c r="AI348" s="189">
        <v>568</v>
      </c>
      <c r="AJ348" s="125">
        <v>1790.6606999999999</v>
      </c>
      <c r="AK348" s="149">
        <v>333</v>
      </c>
      <c r="AL348" s="221">
        <v>159</v>
      </c>
      <c r="AM348" s="216">
        <v>90.960451977401121</v>
      </c>
      <c r="AN348" s="213">
        <v>8.8372093023255811</v>
      </c>
      <c r="AO348" s="127">
        <v>6.484</v>
      </c>
      <c r="AP348" s="133">
        <v>0.33600000000000002</v>
      </c>
      <c r="AQ348" s="224">
        <f t="shared" si="87"/>
        <v>1.595505617977528</v>
      </c>
      <c r="AR348" s="158">
        <v>356</v>
      </c>
      <c r="AS348" s="229">
        <f t="shared" si="88"/>
        <v>0.42074074074074075</v>
      </c>
      <c r="AT348" s="230">
        <v>1350</v>
      </c>
      <c r="AU348" s="203">
        <v>16.549295774647888</v>
      </c>
      <c r="AV348" s="204">
        <v>65.66901408450704</v>
      </c>
      <c r="AW348" s="205">
        <v>17.781690140845072</v>
      </c>
      <c r="AX348" s="123">
        <v>3.8043</v>
      </c>
      <c r="AY348" s="281">
        <v>4.7846889952153111</v>
      </c>
      <c r="AZ348" s="282">
        <v>34.928229665071768</v>
      </c>
      <c r="BA348" s="283">
        <f t="shared" si="89"/>
        <v>60.287081339712927</v>
      </c>
      <c r="BB348" s="234">
        <v>88.990825688073386</v>
      </c>
      <c r="BC348" s="19">
        <v>2008</v>
      </c>
      <c r="BD348" s="264" t="s">
        <v>557</v>
      </c>
      <c r="BE348" s="262" t="s">
        <v>557</v>
      </c>
      <c r="BF348" s="260" t="s">
        <v>557</v>
      </c>
      <c r="BG348" s="256">
        <v>0</v>
      </c>
      <c r="BH348" s="254" t="s">
        <v>557</v>
      </c>
      <c r="BI348" s="249">
        <v>0</v>
      </c>
      <c r="BJ348" s="309" t="s">
        <v>557</v>
      </c>
      <c r="BK348" s="307" t="s">
        <v>557</v>
      </c>
      <c r="BL348" s="319" t="s">
        <v>557</v>
      </c>
      <c r="BM348" s="320" t="s">
        <v>556</v>
      </c>
      <c r="BN348" s="321" t="s">
        <v>1838</v>
      </c>
      <c r="BO348" s="21" t="s">
        <v>998</v>
      </c>
      <c r="BP348" s="10" t="s">
        <v>556</v>
      </c>
      <c r="BQ348" s="10" t="s">
        <v>557</v>
      </c>
      <c r="BR348" s="80"/>
    </row>
    <row r="349" spans="1:70" s="3" customFormat="1" ht="13.95" customHeight="1" x14ac:dyDescent="0.3">
      <c r="A349" s="56" t="s">
        <v>459</v>
      </c>
      <c r="B349" s="57" t="s">
        <v>462</v>
      </c>
      <c r="C349" s="55" t="s">
        <v>192</v>
      </c>
      <c r="D349" s="58">
        <v>1</v>
      </c>
      <c r="E349" s="59"/>
      <c r="F349" s="60" t="s">
        <v>453</v>
      </c>
      <c r="G349" s="61" t="s">
        <v>113</v>
      </c>
      <c r="H349" s="61" t="s">
        <v>114</v>
      </c>
      <c r="I349" s="62" t="s">
        <v>115</v>
      </c>
      <c r="J349" s="63" t="s">
        <v>2299</v>
      </c>
      <c r="K349" s="99" t="s">
        <v>1164</v>
      </c>
      <c r="L349" s="130" t="s">
        <v>2298</v>
      </c>
      <c r="M349" s="109" t="s">
        <v>564</v>
      </c>
      <c r="N349" s="12" t="s">
        <v>1163</v>
      </c>
      <c r="O349" s="100"/>
      <c r="P349" s="131">
        <v>777598389</v>
      </c>
      <c r="Q349" s="67"/>
      <c r="R349" s="68"/>
      <c r="S349" s="99"/>
      <c r="T349" s="65"/>
      <c r="U349" s="170">
        <v>0</v>
      </c>
      <c r="V349" s="48">
        <f t="shared" si="77"/>
        <v>0</v>
      </c>
      <c r="W349" s="171">
        <f t="shared" si="78"/>
        <v>0</v>
      </c>
      <c r="X349" s="69">
        <v>0</v>
      </c>
      <c r="Y349" s="48">
        <f t="shared" si="79"/>
        <v>0</v>
      </c>
      <c r="Z349" s="137">
        <f t="shared" si="80"/>
        <v>0</v>
      </c>
      <c r="AA349" s="69">
        <v>0</v>
      </c>
      <c r="AB349" s="48">
        <f t="shared" si="81"/>
        <v>0</v>
      </c>
      <c r="AC349" s="137">
        <f t="shared" si="82"/>
        <v>0</v>
      </c>
      <c r="AD349" s="70">
        <f t="shared" si="83"/>
        <v>0</v>
      </c>
      <c r="AE349" s="71">
        <f t="shared" si="84"/>
        <v>0</v>
      </c>
      <c r="AF349" s="193">
        <f t="shared" si="85"/>
        <v>0</v>
      </c>
      <c r="AG349" s="185">
        <f t="shared" si="86"/>
        <v>0</v>
      </c>
      <c r="AH349" s="180">
        <f t="shared" si="90"/>
        <v>0</v>
      </c>
      <c r="AI349" s="189">
        <v>190</v>
      </c>
      <c r="AJ349" s="125">
        <v>385.39600000000002</v>
      </c>
      <c r="AK349" s="149">
        <v>84</v>
      </c>
      <c r="AL349" s="221">
        <v>66</v>
      </c>
      <c r="AM349" s="216">
        <v>98.550724637681171</v>
      </c>
      <c r="AN349" s="213">
        <v>21</v>
      </c>
      <c r="AO349" s="127">
        <v>2.6280000000000001</v>
      </c>
      <c r="AP349" s="133">
        <v>0.47399999999999998</v>
      </c>
      <c r="AQ349" s="224">
        <f t="shared" si="87"/>
        <v>1.2418300653594772</v>
      </c>
      <c r="AR349" s="158">
        <v>153</v>
      </c>
      <c r="AS349" s="229">
        <f t="shared" si="88"/>
        <v>0.61290322580645162</v>
      </c>
      <c r="AT349" s="230">
        <v>310</v>
      </c>
      <c r="AU349" s="203">
        <v>19.473684210526315</v>
      </c>
      <c r="AV349" s="204">
        <v>62.10526315789474</v>
      </c>
      <c r="AW349" s="205">
        <v>18.421052631578945</v>
      </c>
      <c r="AX349" s="123">
        <v>2.3809999999999998</v>
      </c>
      <c r="AY349" s="281">
        <v>5</v>
      </c>
      <c r="AZ349" s="282">
        <v>43.75</v>
      </c>
      <c r="BA349" s="283">
        <f t="shared" si="89"/>
        <v>51.25</v>
      </c>
      <c r="BB349" s="234">
        <v>84.090909090909093</v>
      </c>
      <c r="BC349" s="20">
        <v>2000</v>
      </c>
      <c r="BD349" s="263" t="s">
        <v>556</v>
      </c>
      <c r="BE349" s="261" t="s">
        <v>556</v>
      </c>
      <c r="BF349" s="259" t="s">
        <v>556</v>
      </c>
      <c r="BG349" s="256">
        <v>25.130890052356019</v>
      </c>
      <c r="BH349" s="248" t="s">
        <v>556</v>
      </c>
      <c r="BI349" s="249">
        <v>23.728813559322035</v>
      </c>
      <c r="BJ349" s="309" t="s">
        <v>557</v>
      </c>
      <c r="BK349" s="307" t="s">
        <v>557</v>
      </c>
      <c r="BL349" s="319" t="s">
        <v>1728</v>
      </c>
      <c r="BM349" s="320" t="s">
        <v>557</v>
      </c>
      <c r="BN349" s="321" t="s">
        <v>557</v>
      </c>
      <c r="BO349" s="145" t="s">
        <v>557</v>
      </c>
      <c r="BP349" s="14" t="s">
        <v>556</v>
      </c>
      <c r="BQ349" s="14" t="s">
        <v>557</v>
      </c>
      <c r="BR349" s="56"/>
    </row>
    <row r="350" spans="1:70" s="3" customFormat="1" ht="13.95" customHeight="1" x14ac:dyDescent="0.3">
      <c r="A350" s="56" t="s">
        <v>459</v>
      </c>
      <c r="B350" s="57" t="s">
        <v>462</v>
      </c>
      <c r="C350" s="55" t="s">
        <v>193</v>
      </c>
      <c r="D350" s="58">
        <v>1</v>
      </c>
      <c r="E350" s="59"/>
      <c r="F350" s="60" t="s">
        <v>453</v>
      </c>
      <c r="G350" s="61" t="s">
        <v>113</v>
      </c>
      <c r="H350" s="61" t="s">
        <v>113</v>
      </c>
      <c r="I350" s="62" t="s">
        <v>113</v>
      </c>
      <c r="J350" s="63" t="s">
        <v>2300</v>
      </c>
      <c r="K350" s="99" t="s">
        <v>1166</v>
      </c>
      <c r="L350" s="130">
        <v>493534268</v>
      </c>
      <c r="M350" s="109" t="s">
        <v>564</v>
      </c>
      <c r="N350" s="12" t="s">
        <v>1165</v>
      </c>
      <c r="O350" s="100"/>
      <c r="P350" s="131">
        <v>604472793</v>
      </c>
      <c r="Q350" s="67"/>
      <c r="R350" s="68"/>
      <c r="S350" s="99"/>
      <c r="T350" s="65"/>
      <c r="U350" s="170">
        <f>29867+50992+48096</f>
        <v>128955</v>
      </c>
      <c r="V350" s="48">
        <f t="shared" si="77"/>
        <v>406.79810725552051</v>
      </c>
      <c r="W350" s="171">
        <f t="shared" si="78"/>
        <v>425.92481884446897</v>
      </c>
      <c r="X350" s="69">
        <v>295702</v>
      </c>
      <c r="Y350" s="48">
        <f t="shared" si="79"/>
        <v>932.81388012618299</v>
      </c>
      <c r="Z350" s="137">
        <f t="shared" si="80"/>
        <v>976.67264380556912</v>
      </c>
      <c r="AA350" s="69">
        <v>0</v>
      </c>
      <c r="AB350" s="48">
        <f t="shared" si="81"/>
        <v>0</v>
      </c>
      <c r="AC350" s="137">
        <f t="shared" si="82"/>
        <v>0</v>
      </c>
      <c r="AD350" s="70">
        <f t="shared" si="83"/>
        <v>424657</v>
      </c>
      <c r="AE350" s="71">
        <f t="shared" si="84"/>
        <v>1339.6119873817036</v>
      </c>
      <c r="AF350" s="193">
        <f t="shared" si="85"/>
        <v>1402.5974626500381</v>
      </c>
      <c r="AG350" s="185">
        <f t="shared" si="86"/>
        <v>7.897656685884321E-3</v>
      </c>
      <c r="AH350" s="180">
        <f t="shared" si="90"/>
        <v>1.1355983420243349E-2</v>
      </c>
      <c r="AI350" s="189">
        <v>317</v>
      </c>
      <c r="AJ350" s="125">
        <v>302.7647</v>
      </c>
      <c r="AK350" s="149">
        <v>83</v>
      </c>
      <c r="AL350" s="221">
        <v>61</v>
      </c>
      <c r="AM350" s="216">
        <v>44.736842105263158</v>
      </c>
      <c r="AN350" s="213">
        <v>6.8181818181818175</v>
      </c>
      <c r="AO350" s="127">
        <v>10.754</v>
      </c>
      <c r="AP350" s="133">
        <v>7.4790000000000001</v>
      </c>
      <c r="AQ350" s="224">
        <f t="shared" si="87"/>
        <v>0.97239263803680986</v>
      </c>
      <c r="AR350" s="158">
        <v>326</v>
      </c>
      <c r="AS350" s="229">
        <f t="shared" si="88"/>
        <v>1.1697416974169741</v>
      </c>
      <c r="AT350" s="230">
        <v>271</v>
      </c>
      <c r="AU350" s="203">
        <v>12.933753943217665</v>
      </c>
      <c r="AV350" s="204">
        <v>72.870662460567814</v>
      </c>
      <c r="AW350" s="205">
        <v>14.195583596214512</v>
      </c>
      <c r="AX350" s="123">
        <v>2.9914999999999998</v>
      </c>
      <c r="AY350" s="281">
        <v>6</v>
      </c>
      <c r="AZ350" s="282">
        <v>33.333333333333329</v>
      </c>
      <c r="BA350" s="283">
        <f t="shared" si="89"/>
        <v>60.666666666666671</v>
      </c>
      <c r="BB350" s="234">
        <v>64.772727272727266</v>
      </c>
      <c r="BC350" s="20">
        <v>2000</v>
      </c>
      <c r="BD350" s="263" t="s">
        <v>556</v>
      </c>
      <c r="BE350" s="261" t="s">
        <v>556</v>
      </c>
      <c r="BF350" s="259" t="s">
        <v>556</v>
      </c>
      <c r="BG350" s="256">
        <v>46.05263157894737</v>
      </c>
      <c r="BH350" s="248" t="s">
        <v>556</v>
      </c>
      <c r="BI350" s="249">
        <v>53.198653198653204</v>
      </c>
      <c r="BJ350" s="309" t="s">
        <v>557</v>
      </c>
      <c r="BK350" s="307" t="s">
        <v>557</v>
      </c>
      <c r="BL350" s="319" t="s">
        <v>1728</v>
      </c>
      <c r="BM350" s="320" t="s">
        <v>557</v>
      </c>
      <c r="BN350" s="321" t="s">
        <v>1838</v>
      </c>
      <c r="BO350" s="145" t="s">
        <v>557</v>
      </c>
      <c r="BP350" s="14" t="s">
        <v>556</v>
      </c>
      <c r="BQ350" s="14" t="s">
        <v>556</v>
      </c>
      <c r="BR350" s="56"/>
    </row>
    <row r="351" spans="1:70" s="3" customFormat="1" ht="13.95" customHeight="1" x14ac:dyDescent="0.3">
      <c r="A351" s="56" t="s">
        <v>459</v>
      </c>
      <c r="B351" s="57" t="s">
        <v>462</v>
      </c>
      <c r="C351" s="55" t="s">
        <v>194</v>
      </c>
      <c r="D351" s="58">
        <v>1</v>
      </c>
      <c r="E351" s="59"/>
      <c r="F351" s="60" t="s">
        <v>453</v>
      </c>
      <c r="G351" s="61" t="s">
        <v>117</v>
      </c>
      <c r="H351" s="61" t="s">
        <v>117</v>
      </c>
      <c r="I351" s="62" t="s">
        <v>117</v>
      </c>
      <c r="J351" s="63" t="s">
        <v>2301</v>
      </c>
      <c r="K351" s="99" t="s">
        <v>2506</v>
      </c>
      <c r="L351" s="130">
        <v>493592129</v>
      </c>
      <c r="M351" s="109" t="s">
        <v>537</v>
      </c>
      <c r="N351" s="12" t="s">
        <v>1167</v>
      </c>
      <c r="O351" s="100"/>
      <c r="P351" s="131"/>
      <c r="Q351" s="67"/>
      <c r="R351" s="68"/>
      <c r="S351" s="99"/>
      <c r="T351" s="65"/>
      <c r="U351" s="170">
        <f>52849+28913+600000+428152</f>
        <v>1109914</v>
      </c>
      <c r="V351" s="48">
        <f t="shared" si="77"/>
        <v>4006.9097472924186</v>
      </c>
      <c r="W351" s="171">
        <f t="shared" si="78"/>
        <v>2134.9533563105456</v>
      </c>
      <c r="X351" s="69">
        <v>75199</v>
      </c>
      <c r="Y351" s="48">
        <f t="shared" si="79"/>
        <v>271.47653429602889</v>
      </c>
      <c r="Z351" s="137">
        <f t="shared" si="80"/>
        <v>144.64756498359037</v>
      </c>
      <c r="AA351" s="69">
        <v>0</v>
      </c>
      <c r="AB351" s="48">
        <f t="shared" si="81"/>
        <v>0</v>
      </c>
      <c r="AC351" s="137">
        <f t="shared" si="82"/>
        <v>0</v>
      </c>
      <c r="AD351" s="70">
        <f t="shared" si="83"/>
        <v>1185113</v>
      </c>
      <c r="AE351" s="71">
        <f t="shared" si="84"/>
        <v>4278.3862815884477</v>
      </c>
      <c r="AF351" s="193">
        <f t="shared" si="85"/>
        <v>2279.6009212941362</v>
      </c>
      <c r="AG351" s="185">
        <f t="shared" si="86"/>
        <v>6.2243329831932773E-2</v>
      </c>
      <c r="AH351" s="180">
        <f t="shared" si="90"/>
        <v>0.20310419880034278</v>
      </c>
      <c r="AI351" s="189">
        <v>277</v>
      </c>
      <c r="AJ351" s="125">
        <v>519.87739999999997</v>
      </c>
      <c r="AK351" s="149">
        <v>132</v>
      </c>
      <c r="AL351" s="221">
        <v>81</v>
      </c>
      <c r="AM351" s="216">
        <v>88.421052631578945</v>
      </c>
      <c r="AN351" s="213">
        <v>28.472222222222225</v>
      </c>
      <c r="AO351" s="127">
        <v>3.8079999999999998</v>
      </c>
      <c r="AP351" s="133">
        <v>1.167</v>
      </c>
      <c r="AQ351" s="224">
        <f t="shared" si="87"/>
        <v>1.253393665158371</v>
      </c>
      <c r="AR351" s="158">
        <v>221</v>
      </c>
      <c r="AS351" s="229">
        <f t="shared" si="88"/>
        <v>0.45559210526315791</v>
      </c>
      <c r="AT351" s="230">
        <v>608</v>
      </c>
      <c r="AU351" s="203">
        <v>18.772563176895307</v>
      </c>
      <c r="AV351" s="204">
        <v>64.259927797833939</v>
      </c>
      <c r="AW351" s="205">
        <v>16.967509025270758</v>
      </c>
      <c r="AX351" s="123">
        <v>5.4645000000000001</v>
      </c>
      <c r="AY351" s="281">
        <v>16.494845360824741</v>
      </c>
      <c r="AZ351" s="282">
        <v>38.144329896907216</v>
      </c>
      <c r="BA351" s="283">
        <f t="shared" si="89"/>
        <v>45.360824742268044</v>
      </c>
      <c r="BB351" s="234">
        <v>89.361702127659584</v>
      </c>
      <c r="BC351" s="20">
        <v>2013</v>
      </c>
      <c r="BD351" s="263" t="s">
        <v>556</v>
      </c>
      <c r="BE351" s="261" t="s">
        <v>556</v>
      </c>
      <c r="BF351" s="260" t="s">
        <v>557</v>
      </c>
      <c r="BG351" s="256">
        <v>26.984126984126984</v>
      </c>
      <c r="BH351" s="248" t="s">
        <v>556</v>
      </c>
      <c r="BI351" s="249">
        <v>44.186046511627907</v>
      </c>
      <c r="BJ351" s="309" t="s">
        <v>557</v>
      </c>
      <c r="BK351" s="307" t="s">
        <v>557</v>
      </c>
      <c r="BL351" s="319" t="s">
        <v>1728</v>
      </c>
      <c r="BM351" s="320" t="s">
        <v>556</v>
      </c>
      <c r="BN351" s="321" t="s">
        <v>557</v>
      </c>
      <c r="BO351" s="145" t="s">
        <v>557</v>
      </c>
      <c r="BP351" s="14" t="s">
        <v>556</v>
      </c>
      <c r="BQ351" s="14" t="s">
        <v>557</v>
      </c>
      <c r="BR351" s="56"/>
    </row>
    <row r="352" spans="1:70" s="56" customFormat="1" ht="13.95" customHeight="1" x14ac:dyDescent="0.3">
      <c r="A352" s="56" t="s">
        <v>459</v>
      </c>
      <c r="B352" s="77" t="s">
        <v>464</v>
      </c>
      <c r="C352" s="74" t="s">
        <v>279</v>
      </c>
      <c r="D352" s="58">
        <v>5</v>
      </c>
      <c r="E352" s="59" t="s">
        <v>662</v>
      </c>
      <c r="F352" s="60" t="s">
        <v>454</v>
      </c>
      <c r="G352" s="75" t="s">
        <v>226</v>
      </c>
      <c r="H352" s="75" t="s">
        <v>249</v>
      </c>
      <c r="I352" s="76" t="s">
        <v>249</v>
      </c>
      <c r="J352" s="63" t="s">
        <v>2302</v>
      </c>
      <c r="K352" s="99"/>
      <c r="L352" s="130">
        <v>491487131</v>
      </c>
      <c r="M352" s="109" t="s">
        <v>564</v>
      </c>
      <c r="N352" s="12" t="s">
        <v>1356</v>
      </c>
      <c r="O352" s="100" t="s">
        <v>1357</v>
      </c>
      <c r="P352" s="131">
        <v>605926479</v>
      </c>
      <c r="Q352" s="10"/>
      <c r="R352" s="68"/>
      <c r="S352" s="99"/>
      <c r="T352" s="65"/>
      <c r="U352" s="170">
        <v>0</v>
      </c>
      <c r="V352" s="48">
        <f t="shared" si="77"/>
        <v>0</v>
      </c>
      <c r="W352" s="171">
        <f t="shared" si="78"/>
        <v>0</v>
      </c>
      <c r="X352" s="69">
        <f>15920+34000</f>
        <v>49920</v>
      </c>
      <c r="Y352" s="48">
        <f t="shared" si="79"/>
        <v>78.367346938775512</v>
      </c>
      <c r="Z352" s="137">
        <f t="shared" si="80"/>
        <v>30.225503325471394</v>
      </c>
      <c r="AA352" s="69">
        <v>0</v>
      </c>
      <c r="AB352" s="48">
        <f t="shared" si="81"/>
        <v>0</v>
      </c>
      <c r="AC352" s="137">
        <f t="shared" si="82"/>
        <v>0</v>
      </c>
      <c r="AD352" s="70">
        <f t="shared" si="83"/>
        <v>49920</v>
      </c>
      <c r="AE352" s="71">
        <f t="shared" si="84"/>
        <v>78.367346938775512</v>
      </c>
      <c r="AF352" s="193">
        <f t="shared" si="85"/>
        <v>30.225503325471394</v>
      </c>
      <c r="AG352" s="185">
        <f t="shared" si="86"/>
        <v>9.3352033660589059E-4</v>
      </c>
      <c r="AH352" s="180">
        <f t="shared" si="90"/>
        <v>3.610849909584087E-3</v>
      </c>
      <c r="AI352" s="189">
        <v>637</v>
      </c>
      <c r="AJ352" s="126">
        <v>1651.5853999999999</v>
      </c>
      <c r="AK352" s="150">
        <v>385</v>
      </c>
      <c r="AL352" s="221">
        <v>188</v>
      </c>
      <c r="AM352" s="216">
        <v>79.150579150579148</v>
      </c>
      <c r="AN352" s="213">
        <v>38.631346578366447</v>
      </c>
      <c r="AO352" s="128">
        <v>10.695</v>
      </c>
      <c r="AP352" s="134">
        <v>2.7650000000000001</v>
      </c>
      <c r="AQ352" s="224">
        <f t="shared" si="87"/>
        <v>0.81981981981981977</v>
      </c>
      <c r="AR352" s="158">
        <v>777</v>
      </c>
      <c r="AS352" s="229">
        <f t="shared" si="88"/>
        <v>0.34563212154096584</v>
      </c>
      <c r="AT352" s="230">
        <v>1843</v>
      </c>
      <c r="AU352" s="203">
        <v>14.599686028257459</v>
      </c>
      <c r="AV352" s="204">
        <v>64.364207221350085</v>
      </c>
      <c r="AW352" s="205">
        <v>21.036106750392463</v>
      </c>
      <c r="AX352" s="123">
        <v>2.4876</v>
      </c>
      <c r="AY352" s="281">
        <v>8.1712062256809332</v>
      </c>
      <c r="AZ352" s="282">
        <v>41.245136186770424</v>
      </c>
      <c r="BA352" s="283">
        <f t="shared" si="89"/>
        <v>50.583657587548643</v>
      </c>
      <c r="BB352" s="234">
        <v>73.033707865168537</v>
      </c>
      <c r="BC352" s="20">
        <v>2000</v>
      </c>
      <c r="BD352" s="263" t="s">
        <v>556</v>
      </c>
      <c r="BE352" s="261" t="s">
        <v>556</v>
      </c>
      <c r="BF352" s="260" t="s">
        <v>557</v>
      </c>
      <c r="BG352" s="256">
        <v>8.9430894308943092</v>
      </c>
      <c r="BH352" s="254" t="s">
        <v>557</v>
      </c>
      <c r="BI352" s="249">
        <v>0</v>
      </c>
      <c r="BJ352" s="308" t="s">
        <v>556</v>
      </c>
      <c r="BK352" s="307" t="s">
        <v>556</v>
      </c>
      <c r="BL352" s="319" t="s">
        <v>1728</v>
      </c>
      <c r="BM352" s="320" t="s">
        <v>556</v>
      </c>
      <c r="BN352" s="321" t="s">
        <v>1803</v>
      </c>
      <c r="BO352" s="145" t="s">
        <v>556</v>
      </c>
      <c r="BP352" s="14" t="s">
        <v>556</v>
      </c>
      <c r="BQ352" s="14" t="s">
        <v>557</v>
      </c>
      <c r="BR352" s="72"/>
    </row>
    <row r="353" spans="1:70" s="56" customFormat="1" ht="13.95" customHeight="1" x14ac:dyDescent="0.3">
      <c r="A353" s="56" t="s">
        <v>459</v>
      </c>
      <c r="B353" s="57" t="s">
        <v>462</v>
      </c>
      <c r="C353" s="55" t="s">
        <v>94</v>
      </c>
      <c r="D353" s="58">
        <v>1</v>
      </c>
      <c r="E353" s="59"/>
      <c r="F353" s="60" t="s">
        <v>452</v>
      </c>
      <c r="G353" s="61" t="s">
        <v>7</v>
      </c>
      <c r="H353" s="61" t="s">
        <v>7</v>
      </c>
      <c r="I353" s="62" t="s">
        <v>7</v>
      </c>
      <c r="J353" s="63" t="s">
        <v>2303</v>
      </c>
      <c r="K353" s="99" t="s">
        <v>962</v>
      </c>
      <c r="L353" s="130">
        <v>495493328</v>
      </c>
      <c r="M353" s="109" t="s">
        <v>564</v>
      </c>
      <c r="N353" s="12" t="s">
        <v>961</v>
      </c>
      <c r="O353" s="100"/>
      <c r="P353" s="131">
        <v>724187620</v>
      </c>
      <c r="Q353" s="10"/>
      <c r="R353" s="68"/>
      <c r="S353" s="99"/>
      <c r="T353" s="65"/>
      <c r="U353" s="170">
        <v>500000</v>
      </c>
      <c r="V353" s="48">
        <f t="shared" si="77"/>
        <v>1262.6262626262626</v>
      </c>
      <c r="W353" s="171">
        <f t="shared" si="78"/>
        <v>635.87440615689206</v>
      </c>
      <c r="X353" s="69">
        <v>53910</v>
      </c>
      <c r="Y353" s="48">
        <f t="shared" si="79"/>
        <v>136.13636363636363</v>
      </c>
      <c r="Z353" s="137">
        <f t="shared" si="80"/>
        <v>68.559978471836104</v>
      </c>
      <c r="AA353" s="69">
        <v>0</v>
      </c>
      <c r="AB353" s="48">
        <f t="shared" si="81"/>
        <v>0</v>
      </c>
      <c r="AC353" s="137">
        <f t="shared" si="82"/>
        <v>0</v>
      </c>
      <c r="AD353" s="70">
        <f t="shared" si="83"/>
        <v>553910</v>
      </c>
      <c r="AE353" s="71">
        <f t="shared" si="84"/>
        <v>1398.7626262626263</v>
      </c>
      <c r="AF353" s="193">
        <f t="shared" si="85"/>
        <v>704.43438462872814</v>
      </c>
      <c r="AG353" s="185">
        <f t="shared" si="86"/>
        <v>2.4172376172812569E-2</v>
      </c>
      <c r="AH353" s="180">
        <f t="shared" si="90"/>
        <v>0.14130357142857145</v>
      </c>
      <c r="AI353" s="189">
        <v>396</v>
      </c>
      <c r="AJ353" s="125">
        <v>786.31880000000001</v>
      </c>
      <c r="AK353" s="149">
        <v>177</v>
      </c>
      <c r="AL353" s="221">
        <v>111</v>
      </c>
      <c r="AM353" s="216">
        <v>82.222222222222214</v>
      </c>
      <c r="AN353" s="213">
        <v>23.036649214659686</v>
      </c>
      <c r="AO353" s="127">
        <v>4.5830000000000002</v>
      </c>
      <c r="AP353" s="133">
        <v>0.78400000000000003</v>
      </c>
      <c r="AQ353" s="224">
        <f t="shared" si="87"/>
        <v>1.03125</v>
      </c>
      <c r="AR353" s="158">
        <v>384</v>
      </c>
      <c r="AS353" s="229">
        <f t="shared" si="88"/>
        <v>0.43660418963616315</v>
      </c>
      <c r="AT353" s="230">
        <v>907</v>
      </c>
      <c r="AU353" s="203">
        <v>13.636363636363635</v>
      </c>
      <c r="AV353" s="204">
        <v>63.636363636363633</v>
      </c>
      <c r="AW353" s="205">
        <v>22.727272727272727</v>
      </c>
      <c r="AX353" s="123">
        <v>5.1383000000000001</v>
      </c>
      <c r="AY353" s="281">
        <v>7.8947368421052628</v>
      </c>
      <c r="AZ353" s="282">
        <v>34.210526315789473</v>
      </c>
      <c r="BA353" s="283">
        <f t="shared" si="89"/>
        <v>57.894736842105267</v>
      </c>
      <c r="BB353" s="234">
        <v>85.526315789473685</v>
      </c>
      <c r="BC353" s="20">
        <v>2004</v>
      </c>
      <c r="BD353" s="263" t="s">
        <v>556</v>
      </c>
      <c r="BE353" s="261" t="s">
        <v>556</v>
      </c>
      <c r="BF353" s="260" t="s">
        <v>557</v>
      </c>
      <c r="BG353" s="256">
        <v>37.74104683195592</v>
      </c>
      <c r="BH353" s="248" t="s">
        <v>556</v>
      </c>
      <c r="BI353" s="249">
        <v>59.050445103857562</v>
      </c>
      <c r="BJ353" s="308" t="s">
        <v>556</v>
      </c>
      <c r="BK353" s="307" t="s">
        <v>557</v>
      </c>
      <c r="BL353" s="319" t="s">
        <v>1728</v>
      </c>
      <c r="BM353" s="320" t="s">
        <v>556</v>
      </c>
      <c r="BN353" s="321" t="s">
        <v>1838</v>
      </c>
      <c r="BO353" s="145" t="s">
        <v>556</v>
      </c>
      <c r="BP353" s="14" t="s">
        <v>556</v>
      </c>
      <c r="BQ353" s="14" t="s">
        <v>557</v>
      </c>
    </row>
    <row r="354" spans="1:70" s="56" customFormat="1" ht="13.95" customHeight="1" x14ac:dyDescent="0.3">
      <c r="A354" s="56" t="s">
        <v>459</v>
      </c>
      <c r="B354" s="57" t="s">
        <v>462</v>
      </c>
      <c r="C354" s="55" t="s">
        <v>95</v>
      </c>
      <c r="D354" s="58">
        <v>4</v>
      </c>
      <c r="E354" s="59" t="s">
        <v>493</v>
      </c>
      <c r="F354" s="60" t="s">
        <v>452</v>
      </c>
      <c r="G354" s="61" t="s">
        <v>11</v>
      </c>
      <c r="H354" s="61" t="s">
        <v>11</v>
      </c>
      <c r="I354" s="62" t="s">
        <v>11</v>
      </c>
      <c r="J354" s="63" t="s">
        <v>2304</v>
      </c>
      <c r="K354" s="99" t="s">
        <v>964</v>
      </c>
      <c r="L354" s="130">
        <v>495453221</v>
      </c>
      <c r="M354" s="109" t="s">
        <v>537</v>
      </c>
      <c r="N354" s="12" t="s">
        <v>963</v>
      </c>
      <c r="O354" s="100"/>
      <c r="P354" s="131">
        <v>603817865</v>
      </c>
      <c r="Q354" s="67"/>
      <c r="R354" s="68"/>
      <c r="S354" s="99"/>
      <c r="T354" s="65"/>
      <c r="U354" s="170">
        <v>287000</v>
      </c>
      <c r="V354" s="48">
        <f t="shared" si="77"/>
        <v>151.21180189673339</v>
      </c>
      <c r="W354" s="171">
        <f t="shared" si="78"/>
        <v>223.87174878937648</v>
      </c>
      <c r="X354" s="69">
        <v>365600</v>
      </c>
      <c r="Y354" s="48">
        <f t="shared" si="79"/>
        <v>192.62381454162275</v>
      </c>
      <c r="Z354" s="137">
        <f t="shared" si="80"/>
        <v>285.18296640207677</v>
      </c>
      <c r="AA354" s="69">
        <v>1200000</v>
      </c>
      <c r="AB354" s="48">
        <f t="shared" si="81"/>
        <v>632.24446786090618</v>
      </c>
      <c r="AC354" s="137">
        <f t="shared" si="82"/>
        <v>936.04912385802015</v>
      </c>
      <c r="AD354" s="70">
        <f t="shared" si="83"/>
        <v>1852600</v>
      </c>
      <c r="AE354" s="71">
        <f t="shared" si="84"/>
        <v>976.08008429926235</v>
      </c>
      <c r="AF354" s="193">
        <f t="shared" si="85"/>
        <v>1445.1038390494734</v>
      </c>
      <c r="AG354" s="185">
        <f t="shared" si="86"/>
        <v>1.9427432885906041E-2</v>
      </c>
      <c r="AH354" s="180">
        <f t="shared" si="90"/>
        <v>5.5818017475143117E-2</v>
      </c>
      <c r="AI354" s="189">
        <v>1898</v>
      </c>
      <c r="AJ354" s="125">
        <v>1281.9839999999999</v>
      </c>
      <c r="AK354" s="149">
        <v>677</v>
      </c>
      <c r="AL354" s="221">
        <v>444</v>
      </c>
      <c r="AM354" s="216">
        <v>81.456953642384107</v>
      </c>
      <c r="AN354" s="213">
        <v>1.2857142857142856</v>
      </c>
      <c r="AO354" s="127">
        <v>19.071999999999999</v>
      </c>
      <c r="AP354" s="133">
        <v>6.6379999999999999</v>
      </c>
      <c r="AQ354" s="224">
        <f t="shared" si="87"/>
        <v>1.2166666666666666</v>
      </c>
      <c r="AR354" s="158">
        <v>1560</v>
      </c>
      <c r="AS354" s="229">
        <f t="shared" si="88"/>
        <v>1.1530984204131227</v>
      </c>
      <c r="AT354" s="230">
        <v>1646</v>
      </c>
      <c r="AU354" s="203">
        <v>18.018967334035825</v>
      </c>
      <c r="AV354" s="204">
        <v>66.80716543730243</v>
      </c>
      <c r="AW354" s="205">
        <v>15.17386722866175</v>
      </c>
      <c r="AX354" s="123">
        <v>4.6420000000000003</v>
      </c>
      <c r="AY354" s="281">
        <v>2.203182374541004</v>
      </c>
      <c r="AZ354" s="282">
        <v>30.844553243574051</v>
      </c>
      <c r="BA354" s="283">
        <f t="shared" si="89"/>
        <v>66.952264381884945</v>
      </c>
      <c r="BB354" s="234">
        <v>85.13513513513513</v>
      </c>
      <c r="BC354" s="20">
        <v>2005</v>
      </c>
      <c r="BD354" s="263" t="s">
        <v>556</v>
      </c>
      <c r="BE354" s="262" t="s">
        <v>557</v>
      </c>
      <c r="BF354" s="260" t="s">
        <v>557</v>
      </c>
      <c r="BG354" s="256">
        <v>0</v>
      </c>
      <c r="BH354" s="248" t="s">
        <v>556</v>
      </c>
      <c r="BI354" s="249">
        <v>77.349397590361448</v>
      </c>
      <c r="BJ354" s="308" t="s">
        <v>556</v>
      </c>
      <c r="BK354" s="307" t="s">
        <v>750</v>
      </c>
      <c r="BL354" s="319" t="s">
        <v>1728</v>
      </c>
      <c r="BM354" s="320" t="s">
        <v>556</v>
      </c>
      <c r="BN354" s="321" t="s">
        <v>1803</v>
      </c>
      <c r="BO354" s="145" t="s">
        <v>556</v>
      </c>
      <c r="BP354" s="14" t="s">
        <v>556</v>
      </c>
      <c r="BQ354" s="14" t="s">
        <v>557</v>
      </c>
    </row>
    <row r="355" spans="1:70" s="72" customFormat="1" ht="13.95" customHeight="1" x14ac:dyDescent="0.3">
      <c r="A355" s="56" t="s">
        <v>459</v>
      </c>
      <c r="B355" s="57" t="s">
        <v>462</v>
      </c>
      <c r="C355" s="55" t="s">
        <v>96</v>
      </c>
      <c r="D355" s="58">
        <v>2</v>
      </c>
      <c r="E355" s="59" t="s">
        <v>494</v>
      </c>
      <c r="F355" s="60" t="s">
        <v>452</v>
      </c>
      <c r="G355" s="61" t="s">
        <v>11</v>
      </c>
      <c r="H355" s="61" t="s">
        <v>16</v>
      </c>
      <c r="I355" s="62" t="s">
        <v>16</v>
      </c>
      <c r="J355" s="63" t="s">
        <v>2305</v>
      </c>
      <c r="K355" s="99"/>
      <c r="L355" s="130">
        <v>495447143</v>
      </c>
      <c r="M355" s="109" t="s">
        <v>564</v>
      </c>
      <c r="N355" s="12" t="s">
        <v>965</v>
      </c>
      <c r="O355" s="100" t="s">
        <v>966</v>
      </c>
      <c r="P355" s="131">
        <v>721384220</v>
      </c>
      <c r="Q355" s="10"/>
      <c r="R355" s="68"/>
      <c r="S355" s="99"/>
      <c r="T355" s="65"/>
      <c r="U355" s="170">
        <f>760000+600000</f>
        <v>1360000</v>
      </c>
      <c r="V355" s="48">
        <f t="shared" si="77"/>
        <v>4503.3112582781459</v>
      </c>
      <c r="W355" s="171">
        <f t="shared" si="78"/>
        <v>1680.5644818381027</v>
      </c>
      <c r="X355" s="69">
        <v>205000</v>
      </c>
      <c r="Y355" s="48">
        <f t="shared" si="79"/>
        <v>678.80794701986758</v>
      </c>
      <c r="Z355" s="137">
        <f t="shared" si="80"/>
        <v>253.32038145353752</v>
      </c>
      <c r="AA355" s="69">
        <v>139254</v>
      </c>
      <c r="AB355" s="48">
        <f t="shared" si="81"/>
        <v>461.10596026490066</v>
      </c>
      <c r="AC355" s="137">
        <f t="shared" si="82"/>
        <v>172.07744584844349</v>
      </c>
      <c r="AD355" s="70">
        <f t="shared" si="83"/>
        <v>1704254</v>
      </c>
      <c r="AE355" s="71">
        <f t="shared" si="84"/>
        <v>5643.2251655629143</v>
      </c>
      <c r="AF355" s="193">
        <f t="shared" si="85"/>
        <v>2105.9623091400836</v>
      </c>
      <c r="AG355" s="185">
        <f t="shared" si="86"/>
        <v>4.7511959855032058E-2</v>
      </c>
      <c r="AH355" s="180">
        <f t="shared" si="90"/>
        <v>9.2799019874761773E-2</v>
      </c>
      <c r="AI355" s="189">
        <v>302</v>
      </c>
      <c r="AJ355" s="125">
        <v>809.25189999999998</v>
      </c>
      <c r="AK355" s="149">
        <v>144</v>
      </c>
      <c r="AL355" s="221">
        <v>98</v>
      </c>
      <c r="AM355" s="216">
        <v>99.152542372881356</v>
      </c>
      <c r="AN355" s="213">
        <v>16.774193548387096</v>
      </c>
      <c r="AO355" s="127">
        <v>7.1740000000000004</v>
      </c>
      <c r="AP355" s="133">
        <v>3.673</v>
      </c>
      <c r="AQ355" s="224">
        <f t="shared" si="87"/>
        <v>0.99669966996699666</v>
      </c>
      <c r="AR355" s="158">
        <v>303</v>
      </c>
      <c r="AS355" s="229">
        <f t="shared" si="88"/>
        <v>0.49025974025974028</v>
      </c>
      <c r="AT355" s="230">
        <v>616</v>
      </c>
      <c r="AU355" s="203">
        <v>11.589403973509933</v>
      </c>
      <c r="AV355" s="204">
        <v>69.867549668874176</v>
      </c>
      <c r="AW355" s="205">
        <v>18.543046357615893</v>
      </c>
      <c r="AX355" s="123">
        <v>4.2253999999999996</v>
      </c>
      <c r="AY355" s="281">
        <v>12.413793103448276</v>
      </c>
      <c r="AZ355" s="282">
        <v>37.931034482758619</v>
      </c>
      <c r="BA355" s="283">
        <f t="shared" si="89"/>
        <v>49.65517241379311</v>
      </c>
      <c r="BB355" s="234">
        <v>84.615384615384613</v>
      </c>
      <c r="BC355" s="20">
        <v>2002</v>
      </c>
      <c r="BD355" s="263" t="s">
        <v>556</v>
      </c>
      <c r="BE355" s="261" t="s">
        <v>556</v>
      </c>
      <c r="BF355" s="260" t="s">
        <v>557</v>
      </c>
      <c r="BG355" s="256">
        <v>19.871794871794872</v>
      </c>
      <c r="BH355" s="248" t="s">
        <v>556</v>
      </c>
      <c r="BI355" s="249">
        <v>83.93442622950819</v>
      </c>
      <c r="BJ355" s="308" t="s">
        <v>556</v>
      </c>
      <c r="BK355" s="307" t="s">
        <v>557</v>
      </c>
      <c r="BL355" s="319" t="s">
        <v>1728</v>
      </c>
      <c r="BM355" s="320" t="s">
        <v>556</v>
      </c>
      <c r="BN355" s="321" t="s">
        <v>1803</v>
      </c>
      <c r="BO355" s="145" t="s">
        <v>556</v>
      </c>
      <c r="BP355" s="14">
        <v>2</v>
      </c>
      <c r="BQ355" s="14" t="s">
        <v>557</v>
      </c>
    </row>
    <row r="356" spans="1:70" s="56" customFormat="1" ht="13.95" customHeight="1" x14ac:dyDescent="0.3">
      <c r="A356" s="56" t="s">
        <v>459</v>
      </c>
      <c r="B356" s="57" t="s">
        <v>462</v>
      </c>
      <c r="C356" s="55" t="s">
        <v>437</v>
      </c>
      <c r="D356" s="58">
        <v>1</v>
      </c>
      <c r="E356" s="59"/>
      <c r="F356" s="60" t="s">
        <v>456</v>
      </c>
      <c r="G356" s="61" t="s">
        <v>389</v>
      </c>
      <c r="H356" s="61" t="s">
        <v>389</v>
      </c>
      <c r="I356" s="62" t="s">
        <v>389</v>
      </c>
      <c r="J356" s="63" t="s">
        <v>2307</v>
      </c>
      <c r="K356" s="99" t="s">
        <v>2306</v>
      </c>
      <c r="L356" s="130">
        <v>499434174</v>
      </c>
      <c r="M356" s="109" t="s">
        <v>564</v>
      </c>
      <c r="N356" s="12" t="s">
        <v>1640</v>
      </c>
      <c r="O356" s="100" t="s">
        <v>1641</v>
      </c>
      <c r="P356" s="131"/>
      <c r="Q356" s="84"/>
      <c r="S356" s="105"/>
      <c r="T356" s="112"/>
      <c r="U356" s="170">
        <f>25000+22000+87432</f>
        <v>134432</v>
      </c>
      <c r="V356" s="48">
        <f t="shared" si="77"/>
        <v>625.26511627906973</v>
      </c>
      <c r="W356" s="171">
        <f t="shared" si="78"/>
        <v>76.02000184689156</v>
      </c>
      <c r="X356" s="69">
        <v>0</v>
      </c>
      <c r="Y356" s="48">
        <f t="shared" si="79"/>
        <v>0</v>
      </c>
      <c r="Z356" s="137">
        <f t="shared" si="80"/>
        <v>0</v>
      </c>
      <c r="AA356" s="69">
        <v>0</v>
      </c>
      <c r="AB356" s="48">
        <f t="shared" si="81"/>
        <v>0</v>
      </c>
      <c r="AC356" s="137">
        <f t="shared" si="82"/>
        <v>0</v>
      </c>
      <c r="AD356" s="70">
        <f t="shared" si="83"/>
        <v>134432</v>
      </c>
      <c r="AE356" s="71">
        <f t="shared" si="84"/>
        <v>625.26511627906973</v>
      </c>
      <c r="AF356" s="193">
        <f t="shared" si="85"/>
        <v>76.02000184689156</v>
      </c>
      <c r="AG356" s="185">
        <f t="shared" si="86"/>
        <v>2.9348761052286868E-3</v>
      </c>
      <c r="AH356" s="180">
        <f t="shared" si="90"/>
        <v>1.1634097793163132E-2</v>
      </c>
      <c r="AI356" s="189">
        <v>215</v>
      </c>
      <c r="AJ356" s="125">
        <v>1768.3767</v>
      </c>
      <c r="AK356" s="149">
        <v>202</v>
      </c>
      <c r="AL356" s="221">
        <v>59</v>
      </c>
      <c r="AM356" s="216">
        <v>90.476190476190482</v>
      </c>
      <c r="AN356" s="213">
        <v>8.5365853658536572</v>
      </c>
      <c r="AO356" s="127">
        <v>9.1609999999999996</v>
      </c>
      <c r="AP356" s="133">
        <v>2.3109999999999999</v>
      </c>
      <c r="AQ356" s="224">
        <f t="shared" si="87"/>
        <v>1.8859649122807018</v>
      </c>
      <c r="AR356" s="158">
        <v>114</v>
      </c>
      <c r="AS356" s="229">
        <f t="shared" si="88"/>
        <v>0.18582541054451165</v>
      </c>
      <c r="AT356" s="230">
        <v>1157</v>
      </c>
      <c r="AU356" s="203">
        <v>23.720930232558139</v>
      </c>
      <c r="AV356" s="204">
        <v>60.930232558139529</v>
      </c>
      <c r="AW356" s="205">
        <v>15.348837209302326</v>
      </c>
      <c r="AX356" s="123">
        <v>5.1471</v>
      </c>
      <c r="AY356" s="281">
        <v>4.7619047619047619</v>
      </c>
      <c r="AZ356" s="282">
        <v>9.5238095238095237</v>
      </c>
      <c r="BA356" s="283">
        <f t="shared" si="89"/>
        <v>85.714285714285722</v>
      </c>
      <c r="BB356" s="234">
        <v>66.666666666666671</v>
      </c>
      <c r="BC356" s="20">
        <v>2011</v>
      </c>
      <c r="BD356" s="263" t="s">
        <v>556</v>
      </c>
      <c r="BE356" s="261" t="s">
        <v>556</v>
      </c>
      <c r="BF356" s="259" t="s">
        <v>556</v>
      </c>
      <c r="BG356" s="256">
        <v>58.503401360544217</v>
      </c>
      <c r="BH356" s="254" t="s">
        <v>557</v>
      </c>
      <c r="BI356" s="249">
        <v>0</v>
      </c>
      <c r="BJ356" s="309" t="s">
        <v>557</v>
      </c>
      <c r="BK356" s="307" t="s">
        <v>557</v>
      </c>
      <c r="BL356" s="319" t="s">
        <v>557</v>
      </c>
      <c r="BM356" s="320" t="s">
        <v>557</v>
      </c>
      <c r="BN356" s="321" t="s">
        <v>1838</v>
      </c>
      <c r="BO356" s="145" t="s">
        <v>556</v>
      </c>
      <c r="BP356" s="14" t="s">
        <v>557</v>
      </c>
      <c r="BQ356" s="14" t="s">
        <v>557</v>
      </c>
      <c r="BR356" s="3"/>
    </row>
    <row r="357" spans="1:70" s="56" customFormat="1" ht="13.95" customHeight="1" x14ac:dyDescent="0.3">
      <c r="A357" s="56" t="s">
        <v>459</v>
      </c>
      <c r="B357" s="57" t="s">
        <v>462</v>
      </c>
      <c r="C357" s="55" t="s">
        <v>195</v>
      </c>
      <c r="D357" s="58">
        <v>4</v>
      </c>
      <c r="E357" s="59" t="s">
        <v>605</v>
      </c>
      <c r="F357" s="60" t="s">
        <v>453</v>
      </c>
      <c r="G357" s="61" t="s">
        <v>113</v>
      </c>
      <c r="H357" s="61" t="s">
        <v>113</v>
      </c>
      <c r="I357" s="62" t="s">
        <v>113</v>
      </c>
      <c r="J357" s="63" t="s">
        <v>2308</v>
      </c>
      <c r="K357" s="99" t="s">
        <v>1169</v>
      </c>
      <c r="L357" s="130">
        <v>491619921</v>
      </c>
      <c r="M357" s="109" t="s">
        <v>537</v>
      </c>
      <c r="N357" s="12" t="s">
        <v>1168</v>
      </c>
      <c r="O357" s="100"/>
      <c r="P357" s="131">
        <v>724180329</v>
      </c>
      <c r="Q357" s="67"/>
      <c r="R357" s="68"/>
      <c r="S357" s="99"/>
      <c r="T357" s="65"/>
      <c r="U357" s="170">
        <v>560000</v>
      </c>
      <c r="V357" s="48">
        <f t="shared" si="77"/>
        <v>1978.7985865724381</v>
      </c>
      <c r="W357" s="171">
        <f t="shared" si="78"/>
        <v>498.02741125084839</v>
      </c>
      <c r="X357" s="69">
        <v>150600</v>
      </c>
      <c r="Y357" s="48">
        <f t="shared" si="79"/>
        <v>532.15547703180209</v>
      </c>
      <c r="Z357" s="137">
        <f t="shared" si="80"/>
        <v>133.93380023996028</v>
      </c>
      <c r="AA357" s="69">
        <v>0</v>
      </c>
      <c r="AB357" s="48">
        <f t="shared" si="81"/>
        <v>0</v>
      </c>
      <c r="AC357" s="137">
        <f t="shared" si="82"/>
        <v>0</v>
      </c>
      <c r="AD357" s="70">
        <f t="shared" si="83"/>
        <v>710600</v>
      </c>
      <c r="AE357" s="71">
        <f t="shared" si="84"/>
        <v>2510.9540636042402</v>
      </c>
      <c r="AF357" s="193">
        <f t="shared" si="85"/>
        <v>631.96121149080864</v>
      </c>
      <c r="AG357" s="185">
        <f t="shared" si="86"/>
        <v>4.0022528865108417E-2</v>
      </c>
      <c r="AH357" s="180">
        <f t="shared" si="90"/>
        <v>0.25423971377459748</v>
      </c>
      <c r="AI357" s="189">
        <v>283</v>
      </c>
      <c r="AJ357" s="125">
        <v>1124.4360999999999</v>
      </c>
      <c r="AK357" s="149">
        <v>180</v>
      </c>
      <c r="AL357" s="221">
        <v>90</v>
      </c>
      <c r="AM357" s="216">
        <v>93.333333333333329</v>
      </c>
      <c r="AN357" s="213">
        <v>15.135135135135137</v>
      </c>
      <c r="AO357" s="127">
        <v>3.5510000000000002</v>
      </c>
      <c r="AP357" s="133">
        <v>0.55900000000000005</v>
      </c>
      <c r="AQ357" s="224">
        <f t="shared" si="87"/>
        <v>1.0143369175627239</v>
      </c>
      <c r="AR357" s="158">
        <v>279</v>
      </c>
      <c r="AS357" s="229">
        <f t="shared" si="88"/>
        <v>0.39251040221914008</v>
      </c>
      <c r="AT357" s="230">
        <v>721</v>
      </c>
      <c r="AU357" s="203">
        <v>14.487632508833922</v>
      </c>
      <c r="AV357" s="204">
        <v>69.964664310954063</v>
      </c>
      <c r="AW357" s="205">
        <v>15.547703180212014</v>
      </c>
      <c r="AX357" s="123">
        <v>4.5918000000000001</v>
      </c>
      <c r="AY357" s="281">
        <v>9.6</v>
      </c>
      <c r="AZ357" s="282">
        <v>36</v>
      </c>
      <c r="BA357" s="283">
        <f t="shared" si="89"/>
        <v>54.400000000000006</v>
      </c>
      <c r="BB357" s="234">
        <v>93.61702127659575</v>
      </c>
      <c r="BC357" s="20">
        <v>2003</v>
      </c>
      <c r="BD357" s="263" t="s">
        <v>556</v>
      </c>
      <c r="BE357" s="261" t="s">
        <v>556</v>
      </c>
      <c r="BF357" s="260" t="s">
        <v>557</v>
      </c>
      <c r="BG357" s="256">
        <v>22.77580071174377</v>
      </c>
      <c r="BH357" s="254" t="s">
        <v>557</v>
      </c>
      <c r="BI357" s="249">
        <v>0</v>
      </c>
      <c r="BJ357" s="309" t="s">
        <v>557</v>
      </c>
      <c r="BK357" s="307" t="s">
        <v>557</v>
      </c>
      <c r="BL357" s="319" t="s">
        <v>1728</v>
      </c>
      <c r="BM357" s="320" t="s">
        <v>556</v>
      </c>
      <c r="BN357" s="321" t="s">
        <v>1791</v>
      </c>
      <c r="BO357" s="145" t="s">
        <v>556</v>
      </c>
      <c r="BP357" s="14" t="s">
        <v>556</v>
      </c>
      <c r="BQ357" s="14" t="s">
        <v>557</v>
      </c>
      <c r="BR357" s="72"/>
    </row>
    <row r="358" spans="1:70" s="72" customFormat="1" ht="13.95" customHeight="1" x14ac:dyDescent="0.3">
      <c r="A358" s="56" t="s">
        <v>459</v>
      </c>
      <c r="B358" s="57" t="s">
        <v>462</v>
      </c>
      <c r="C358" s="55" t="s">
        <v>97</v>
      </c>
      <c r="D358" s="58">
        <v>2</v>
      </c>
      <c r="E358" s="59" t="s">
        <v>495</v>
      </c>
      <c r="F358" s="60" t="s">
        <v>452</v>
      </c>
      <c r="G358" s="61" t="s">
        <v>11</v>
      </c>
      <c r="H358" s="61" t="s">
        <v>11</v>
      </c>
      <c r="I358" s="62" t="s">
        <v>11</v>
      </c>
      <c r="J358" s="63" t="s">
        <v>2309</v>
      </c>
      <c r="K358" s="99" t="s">
        <v>968</v>
      </c>
      <c r="L358" s="130">
        <v>495447440</v>
      </c>
      <c r="M358" s="109" t="s">
        <v>564</v>
      </c>
      <c r="N358" s="12" t="s">
        <v>967</v>
      </c>
      <c r="O358" s="100"/>
      <c r="P358" s="131">
        <v>725489909</v>
      </c>
      <c r="Q358" s="67"/>
      <c r="R358" s="68"/>
      <c r="S358" s="99"/>
      <c r="T358" s="65"/>
      <c r="U358" s="170">
        <v>213900</v>
      </c>
      <c r="V358" s="48">
        <f t="shared" si="77"/>
        <v>576.54986522911054</v>
      </c>
      <c r="W358" s="171">
        <f t="shared" si="78"/>
        <v>443.91647646121987</v>
      </c>
      <c r="X358" s="69">
        <v>0</v>
      </c>
      <c r="Y358" s="48">
        <f t="shared" si="79"/>
        <v>0</v>
      </c>
      <c r="Z358" s="137">
        <f t="shared" si="80"/>
        <v>0</v>
      </c>
      <c r="AA358" s="69">
        <v>0</v>
      </c>
      <c r="AB358" s="48">
        <f t="shared" si="81"/>
        <v>0</v>
      </c>
      <c r="AC358" s="137">
        <f t="shared" si="82"/>
        <v>0</v>
      </c>
      <c r="AD358" s="70">
        <f t="shared" si="83"/>
        <v>213900</v>
      </c>
      <c r="AE358" s="71">
        <f t="shared" si="84"/>
        <v>576.54986522911054</v>
      </c>
      <c r="AF358" s="193">
        <f t="shared" si="85"/>
        <v>443.91647646121987</v>
      </c>
      <c r="AG358" s="185">
        <f t="shared" si="86"/>
        <v>1.6632970451010885E-2</v>
      </c>
      <c r="AH358" s="180">
        <f t="shared" si="90"/>
        <v>0.16776470588235293</v>
      </c>
      <c r="AI358" s="189">
        <v>371</v>
      </c>
      <c r="AJ358" s="125">
        <v>481.84739999999999</v>
      </c>
      <c r="AK358" s="149">
        <v>132</v>
      </c>
      <c r="AL358" s="221">
        <v>105</v>
      </c>
      <c r="AM358" s="216">
        <v>100</v>
      </c>
      <c r="AN358" s="213">
        <v>4.2553191489361701</v>
      </c>
      <c r="AO358" s="127">
        <v>2.5720000000000001</v>
      </c>
      <c r="AP358" s="133">
        <v>0.255</v>
      </c>
      <c r="AQ358" s="224">
        <f t="shared" si="87"/>
        <v>1.2006472491909386</v>
      </c>
      <c r="AR358" s="158">
        <v>309</v>
      </c>
      <c r="AS358" s="229">
        <f t="shared" si="88"/>
        <v>0.89613526570048307</v>
      </c>
      <c r="AT358" s="230">
        <v>414</v>
      </c>
      <c r="AU358" s="203">
        <v>16.442048517520217</v>
      </c>
      <c r="AV358" s="204">
        <v>69.272237196765502</v>
      </c>
      <c r="AW358" s="205">
        <v>14.285714285714285</v>
      </c>
      <c r="AX358" s="123">
        <v>2.3166000000000002</v>
      </c>
      <c r="AY358" s="281">
        <v>9.316770186335404</v>
      </c>
      <c r="AZ358" s="282">
        <v>38.509316770186338</v>
      </c>
      <c r="BA358" s="283">
        <f t="shared" si="89"/>
        <v>52.173913043478258</v>
      </c>
      <c r="BB358" s="234">
        <v>97.53086419753086</v>
      </c>
      <c r="BC358" s="20">
        <v>2008</v>
      </c>
      <c r="BD358" s="263" t="s">
        <v>556</v>
      </c>
      <c r="BE358" s="262" t="s">
        <v>557</v>
      </c>
      <c r="BF358" s="260" t="s">
        <v>557</v>
      </c>
      <c r="BG358" s="256">
        <v>0</v>
      </c>
      <c r="BH358" s="248" t="s">
        <v>556</v>
      </c>
      <c r="BI358" s="249">
        <v>76.436781609195407</v>
      </c>
      <c r="BJ358" s="309" t="s">
        <v>557</v>
      </c>
      <c r="BK358" s="307" t="s">
        <v>557</v>
      </c>
      <c r="BL358" s="319" t="s">
        <v>1728</v>
      </c>
      <c r="BM358" s="320" t="s">
        <v>556</v>
      </c>
      <c r="BN358" s="321" t="s">
        <v>557</v>
      </c>
      <c r="BO358" s="145" t="s">
        <v>557</v>
      </c>
      <c r="BP358" s="14" t="s">
        <v>556</v>
      </c>
      <c r="BQ358" s="14" t="s">
        <v>556</v>
      </c>
    </row>
    <row r="359" spans="1:70" s="56" customFormat="1" ht="13.95" customHeight="1" x14ac:dyDescent="0.3">
      <c r="A359" s="56" t="s">
        <v>459</v>
      </c>
      <c r="B359" s="57" t="s">
        <v>462</v>
      </c>
      <c r="C359" s="55" t="s">
        <v>280</v>
      </c>
      <c r="D359" s="58">
        <v>7</v>
      </c>
      <c r="E359" s="59" t="s">
        <v>663</v>
      </c>
      <c r="F359" s="60" t="s">
        <v>454</v>
      </c>
      <c r="G359" s="61" t="s">
        <v>226</v>
      </c>
      <c r="H359" s="61" t="s">
        <v>226</v>
      </c>
      <c r="I359" s="62" t="s">
        <v>226</v>
      </c>
      <c r="J359" s="63" t="s">
        <v>2311</v>
      </c>
      <c r="K359" s="101" t="s">
        <v>2310</v>
      </c>
      <c r="L359" s="130">
        <v>491435255</v>
      </c>
      <c r="M359" s="109" t="s">
        <v>537</v>
      </c>
      <c r="N359" s="12" t="s">
        <v>1358</v>
      </c>
      <c r="O359" s="100" t="s">
        <v>1359</v>
      </c>
      <c r="P359" s="131">
        <v>728537101</v>
      </c>
      <c r="Q359" s="67"/>
      <c r="R359" s="68"/>
      <c r="S359" s="99"/>
      <c r="T359" s="65"/>
      <c r="U359" s="170">
        <f>59000+52821+182121</f>
        <v>293942</v>
      </c>
      <c r="V359" s="48">
        <f t="shared" si="77"/>
        <v>258.52418645558487</v>
      </c>
      <c r="W359" s="171">
        <f t="shared" si="78"/>
        <v>283.21860716437806</v>
      </c>
      <c r="X359" s="69">
        <v>19430</v>
      </c>
      <c r="Y359" s="48">
        <f t="shared" si="79"/>
        <v>17.088830255057168</v>
      </c>
      <c r="Z359" s="137">
        <f t="shared" si="80"/>
        <v>18.721167907967782</v>
      </c>
      <c r="AA359" s="69">
        <v>0</v>
      </c>
      <c r="AB359" s="48">
        <f t="shared" si="81"/>
        <v>0</v>
      </c>
      <c r="AC359" s="137">
        <f t="shared" si="82"/>
        <v>0</v>
      </c>
      <c r="AD359" s="70">
        <f t="shared" si="83"/>
        <v>313372</v>
      </c>
      <c r="AE359" s="71">
        <f t="shared" si="84"/>
        <v>275.61301671064206</v>
      </c>
      <c r="AF359" s="193">
        <f t="shared" si="85"/>
        <v>301.93977507234581</v>
      </c>
      <c r="AG359" s="185">
        <f t="shared" si="86"/>
        <v>3.5417269439421335E-3</v>
      </c>
      <c r="AH359" s="180">
        <f t="shared" si="90"/>
        <v>6.6224006762468299E-3</v>
      </c>
      <c r="AI359" s="189">
        <v>1137</v>
      </c>
      <c r="AJ359" s="125">
        <v>1037.8625999999999</v>
      </c>
      <c r="AK359" s="149">
        <v>500</v>
      </c>
      <c r="AL359" s="221">
        <v>314</v>
      </c>
      <c r="AM359" s="216">
        <v>91.139240506329116</v>
      </c>
      <c r="AN359" s="213">
        <v>15.799256505576206</v>
      </c>
      <c r="AO359" s="127">
        <v>17.696000000000002</v>
      </c>
      <c r="AP359" s="133">
        <v>9.4640000000000004</v>
      </c>
      <c r="AQ359" s="224">
        <f t="shared" si="87"/>
        <v>1.2412663755458515</v>
      </c>
      <c r="AR359" s="158">
        <v>916</v>
      </c>
      <c r="AS359" s="229">
        <f t="shared" si="88"/>
        <v>0.86860198624904505</v>
      </c>
      <c r="AT359" s="230">
        <v>1309</v>
      </c>
      <c r="AU359" s="203">
        <v>17.766051011433596</v>
      </c>
      <c r="AV359" s="204">
        <v>66.490765171503952</v>
      </c>
      <c r="AW359" s="205">
        <v>15.743183817062445</v>
      </c>
      <c r="AX359" s="123">
        <v>3.1787999999999998</v>
      </c>
      <c r="AY359" s="281">
        <v>7.0686070686070686</v>
      </c>
      <c r="AZ359" s="282">
        <v>40.74844074844075</v>
      </c>
      <c r="BA359" s="283">
        <f t="shared" si="89"/>
        <v>52.182952182952185</v>
      </c>
      <c r="BB359" s="234">
        <v>88.118811881188122</v>
      </c>
      <c r="BC359" s="20">
        <v>2015</v>
      </c>
      <c r="BD359" s="263" t="s">
        <v>556</v>
      </c>
      <c r="BE359" s="261" t="s">
        <v>556</v>
      </c>
      <c r="BF359" s="259" t="s">
        <v>556</v>
      </c>
      <c r="BG359" s="256">
        <v>51.459143968871587</v>
      </c>
      <c r="BH359" s="248" t="s">
        <v>556</v>
      </c>
      <c r="BI359" s="249">
        <v>46.733668341708544</v>
      </c>
      <c r="BJ359" s="308" t="s">
        <v>556</v>
      </c>
      <c r="BK359" s="307" t="s">
        <v>750</v>
      </c>
      <c r="BL359" s="319" t="s">
        <v>1728</v>
      </c>
      <c r="BM359" s="320" t="s">
        <v>556</v>
      </c>
      <c r="BN359" s="321" t="s">
        <v>2312</v>
      </c>
      <c r="BO359" s="145" t="s">
        <v>556</v>
      </c>
      <c r="BP359" s="14">
        <v>2</v>
      </c>
      <c r="BQ359" s="14" t="s">
        <v>556</v>
      </c>
    </row>
    <row r="360" spans="1:70" s="56" customFormat="1" ht="13.95" customHeight="1" x14ac:dyDescent="0.3">
      <c r="A360" s="56" t="s">
        <v>459</v>
      </c>
      <c r="B360" s="57" t="s">
        <v>462</v>
      </c>
      <c r="C360" s="55" t="s">
        <v>438</v>
      </c>
      <c r="D360" s="58">
        <v>1</v>
      </c>
      <c r="E360" s="59"/>
      <c r="F360" s="60" t="s">
        <v>456</v>
      </c>
      <c r="G360" s="61" t="s">
        <v>378</v>
      </c>
      <c r="H360" s="61" t="s">
        <v>379</v>
      </c>
      <c r="I360" s="62" t="s">
        <v>379</v>
      </c>
      <c r="J360" s="63" t="s">
        <v>2314</v>
      </c>
      <c r="K360" s="99" t="s">
        <v>2313</v>
      </c>
      <c r="L360" s="130">
        <v>499781569</v>
      </c>
      <c r="M360" s="109" t="s">
        <v>537</v>
      </c>
      <c r="N360" s="12" t="s">
        <v>1642</v>
      </c>
      <c r="O360" s="100" t="s">
        <v>1643</v>
      </c>
      <c r="P360" s="131">
        <v>724180520</v>
      </c>
      <c r="Q360" s="82"/>
      <c r="R360" s="72"/>
      <c r="S360" s="115"/>
      <c r="T360" s="112"/>
      <c r="U360" s="170">
        <v>135000</v>
      </c>
      <c r="V360" s="48">
        <f t="shared" si="77"/>
        <v>359.04255319148939</v>
      </c>
      <c r="W360" s="171">
        <f t="shared" si="78"/>
        <v>314.93917474738379</v>
      </c>
      <c r="X360" s="69">
        <v>69153</v>
      </c>
      <c r="Y360" s="48">
        <f t="shared" si="79"/>
        <v>183.91755319148936</v>
      </c>
      <c r="Z360" s="137">
        <f t="shared" si="80"/>
        <v>161.32584260226542</v>
      </c>
      <c r="AA360" s="69">
        <v>0</v>
      </c>
      <c r="AB360" s="48">
        <f t="shared" si="81"/>
        <v>0</v>
      </c>
      <c r="AC360" s="137">
        <f t="shared" si="82"/>
        <v>0</v>
      </c>
      <c r="AD360" s="70">
        <f t="shared" si="83"/>
        <v>204153</v>
      </c>
      <c r="AE360" s="71">
        <f t="shared" si="84"/>
        <v>542.96010638297878</v>
      </c>
      <c r="AF360" s="193">
        <f t="shared" si="85"/>
        <v>476.26501734964921</v>
      </c>
      <c r="AG360" s="185">
        <f t="shared" si="86"/>
        <v>7.4250954719039816E-3</v>
      </c>
      <c r="AH360" s="180">
        <f t="shared" si="90"/>
        <v>2.6410478654592496E-2</v>
      </c>
      <c r="AI360" s="189">
        <v>376</v>
      </c>
      <c r="AJ360" s="125">
        <v>428.6542</v>
      </c>
      <c r="AK360" s="149">
        <v>169</v>
      </c>
      <c r="AL360" s="221">
        <v>97</v>
      </c>
      <c r="AM360" s="216">
        <v>88.63636363636364</v>
      </c>
      <c r="AN360" s="213">
        <v>3.4682080924855487</v>
      </c>
      <c r="AO360" s="127">
        <v>5.4989999999999997</v>
      </c>
      <c r="AP360" s="133">
        <v>1.546</v>
      </c>
      <c r="AQ360" s="224">
        <f t="shared" si="87"/>
        <v>1.065155807365439</v>
      </c>
      <c r="AR360" s="158">
        <v>353</v>
      </c>
      <c r="AS360" s="229">
        <f t="shared" si="88"/>
        <v>0.50673854447439348</v>
      </c>
      <c r="AT360" s="230">
        <v>742</v>
      </c>
      <c r="AU360" s="203">
        <v>16.75531914893617</v>
      </c>
      <c r="AV360" s="204">
        <v>67.021276595744681</v>
      </c>
      <c r="AW360" s="205">
        <v>16.223404255319149</v>
      </c>
      <c r="AX360" s="123">
        <v>3.9683000000000002</v>
      </c>
      <c r="AY360" s="281">
        <v>1.2269938650306749</v>
      </c>
      <c r="AZ360" s="282">
        <v>42.944785276073624</v>
      </c>
      <c r="BA360" s="283">
        <f t="shared" si="89"/>
        <v>55.828220858895698</v>
      </c>
      <c r="BB360" s="234">
        <v>69.318181818181813</v>
      </c>
      <c r="BC360" s="20">
        <v>2009</v>
      </c>
      <c r="BD360" s="263" t="s">
        <v>556</v>
      </c>
      <c r="BE360" s="262" t="s">
        <v>557</v>
      </c>
      <c r="BF360" s="260" t="s">
        <v>557</v>
      </c>
      <c r="BG360" s="256">
        <v>0</v>
      </c>
      <c r="BH360" s="254" t="s">
        <v>557</v>
      </c>
      <c r="BI360" s="249">
        <v>0</v>
      </c>
      <c r="BJ360" s="308" t="s">
        <v>556</v>
      </c>
      <c r="BK360" s="307" t="s">
        <v>557</v>
      </c>
      <c r="BL360" s="319" t="s">
        <v>1728</v>
      </c>
      <c r="BM360" s="320" t="s">
        <v>556</v>
      </c>
      <c r="BN360" s="321" t="s">
        <v>1803</v>
      </c>
      <c r="BO360" s="145" t="s">
        <v>557</v>
      </c>
      <c r="BP360" s="14" t="s">
        <v>557</v>
      </c>
      <c r="BQ360" s="14" t="s">
        <v>556</v>
      </c>
      <c r="BR360" s="72"/>
    </row>
    <row r="361" spans="1:70" s="56" customFormat="1" ht="13.95" customHeight="1" x14ac:dyDescent="0.3">
      <c r="A361" s="56" t="s">
        <v>459</v>
      </c>
      <c r="B361" s="57" t="s">
        <v>462</v>
      </c>
      <c r="C361" s="55" t="s">
        <v>281</v>
      </c>
      <c r="D361" s="58">
        <v>2</v>
      </c>
      <c r="E361" s="59" t="s">
        <v>664</v>
      </c>
      <c r="F361" s="60" t="s">
        <v>454</v>
      </c>
      <c r="G361" s="61" t="s">
        <v>226</v>
      </c>
      <c r="H361" s="61" t="s">
        <v>1227</v>
      </c>
      <c r="I361" s="62" t="s">
        <v>1227</v>
      </c>
      <c r="J361" s="63" t="s">
        <v>2316</v>
      </c>
      <c r="K361" s="99" t="s">
        <v>1361</v>
      </c>
      <c r="L361" s="130">
        <v>491541139</v>
      </c>
      <c r="M361" s="109" t="s">
        <v>564</v>
      </c>
      <c r="N361" s="12" t="s">
        <v>1360</v>
      </c>
      <c r="O361" s="100"/>
      <c r="P361" s="131"/>
      <c r="Q361" s="67"/>
      <c r="R361" s="68"/>
      <c r="S361" s="99"/>
      <c r="T361" s="65"/>
      <c r="U361" s="170">
        <f>238000+56500+49000+434500</f>
        <v>778000</v>
      </c>
      <c r="V361" s="48">
        <f t="shared" si="77"/>
        <v>1883.7772397094432</v>
      </c>
      <c r="W361" s="171">
        <f t="shared" si="78"/>
        <v>585.68235494895191</v>
      </c>
      <c r="X361" s="69">
        <v>653000</v>
      </c>
      <c r="Y361" s="48">
        <f t="shared" si="79"/>
        <v>1581.1138014527844</v>
      </c>
      <c r="Z361" s="137">
        <f t="shared" si="80"/>
        <v>491.581719513709</v>
      </c>
      <c r="AA361" s="69">
        <v>310000</v>
      </c>
      <c r="AB361" s="48">
        <f t="shared" si="81"/>
        <v>750.60532687651335</v>
      </c>
      <c r="AC361" s="137">
        <f t="shared" si="82"/>
        <v>233.36957587940245</v>
      </c>
      <c r="AD361" s="70">
        <f t="shared" si="83"/>
        <v>1741000</v>
      </c>
      <c r="AE361" s="71">
        <f t="shared" si="84"/>
        <v>4215.4963680387409</v>
      </c>
      <c r="AF361" s="193">
        <f t="shared" si="85"/>
        <v>1310.6336503420634</v>
      </c>
      <c r="AG361" s="185">
        <f t="shared" si="86"/>
        <v>6.7025986525505302E-2</v>
      </c>
      <c r="AH361" s="180">
        <f t="shared" ref="AH361:AH392" si="91">IF(AD361=0,0,1/(AP361*5000000/AD361))</f>
        <v>0.41207100591715978</v>
      </c>
      <c r="AI361" s="189">
        <v>413</v>
      </c>
      <c r="AJ361" s="125">
        <v>1328.3651</v>
      </c>
      <c r="AK361" s="149">
        <v>218</v>
      </c>
      <c r="AL361" s="221">
        <v>124</v>
      </c>
      <c r="AM361" s="216">
        <v>91.558441558441558</v>
      </c>
      <c r="AN361" s="213">
        <v>21.719457013574665</v>
      </c>
      <c r="AO361" s="127">
        <v>5.1950000000000003</v>
      </c>
      <c r="AP361" s="133">
        <v>0.84499999999999997</v>
      </c>
      <c r="AQ361" s="224">
        <f t="shared" si="87"/>
        <v>1.2182890855457227</v>
      </c>
      <c r="AR361" s="158">
        <v>339</v>
      </c>
      <c r="AS361" s="229">
        <f t="shared" si="88"/>
        <v>0.54774535809018565</v>
      </c>
      <c r="AT361" s="230">
        <v>754</v>
      </c>
      <c r="AU361" s="203">
        <v>15.254237288135593</v>
      </c>
      <c r="AV361" s="204">
        <v>68.038740920096842</v>
      </c>
      <c r="AW361" s="205">
        <v>16.707021791767556</v>
      </c>
      <c r="AX361" s="123">
        <v>3.1141999999999999</v>
      </c>
      <c r="AY361" s="281">
        <v>10.99476439790576</v>
      </c>
      <c r="AZ361" s="282">
        <v>42.931937172774873</v>
      </c>
      <c r="BA361" s="283">
        <f t="shared" si="89"/>
        <v>46.073298429319372</v>
      </c>
      <c r="BB361" s="234">
        <v>86.764705882352942</v>
      </c>
      <c r="BC361" s="20">
        <v>2001</v>
      </c>
      <c r="BD361" s="263" t="s">
        <v>556</v>
      </c>
      <c r="BE361" s="261" t="s">
        <v>556</v>
      </c>
      <c r="BF361" s="260" t="s">
        <v>557</v>
      </c>
      <c r="BG361" s="256">
        <v>3.2941176470588238</v>
      </c>
      <c r="BH361" s="254" t="s">
        <v>557</v>
      </c>
      <c r="BI361" s="249">
        <v>0</v>
      </c>
      <c r="BJ361" s="308" t="s">
        <v>556</v>
      </c>
      <c r="BK361" s="307" t="s">
        <v>750</v>
      </c>
      <c r="BL361" s="319" t="s">
        <v>1728</v>
      </c>
      <c r="BM361" s="320" t="s">
        <v>556</v>
      </c>
      <c r="BN361" s="321" t="s">
        <v>1996</v>
      </c>
      <c r="BO361" s="145" t="s">
        <v>556</v>
      </c>
      <c r="BP361" s="14" t="s">
        <v>557</v>
      </c>
      <c r="BQ361" s="14" t="s">
        <v>557</v>
      </c>
    </row>
    <row r="362" spans="1:70" s="56" customFormat="1" ht="13.95" customHeight="1" x14ac:dyDescent="0.3">
      <c r="A362" s="56" t="s">
        <v>459</v>
      </c>
      <c r="B362" s="57" t="s">
        <v>462</v>
      </c>
      <c r="C362" s="55" t="s">
        <v>196</v>
      </c>
      <c r="D362" s="58">
        <v>2</v>
      </c>
      <c r="E362" s="59" t="s">
        <v>606</v>
      </c>
      <c r="F362" s="60" t="s">
        <v>453</v>
      </c>
      <c r="G362" s="61" t="s">
        <v>117</v>
      </c>
      <c r="H362" s="61" t="s">
        <v>117</v>
      </c>
      <c r="I362" s="62" t="s">
        <v>117</v>
      </c>
      <c r="J362" s="63" t="s">
        <v>2319</v>
      </c>
      <c r="K362" s="99" t="s">
        <v>1171</v>
      </c>
      <c r="L362" s="130">
        <v>493699216</v>
      </c>
      <c r="M362" s="109" t="s">
        <v>564</v>
      </c>
      <c r="N362" s="12" t="s">
        <v>1170</v>
      </c>
      <c r="O362" s="100"/>
      <c r="P362" s="131">
        <v>605886486</v>
      </c>
      <c r="Q362" s="67"/>
      <c r="R362" s="68"/>
      <c r="S362" s="99"/>
      <c r="T362" s="65"/>
      <c r="U362" s="170">
        <v>305000</v>
      </c>
      <c r="V362" s="48">
        <f t="shared" si="77"/>
        <v>1438.6792452830189</v>
      </c>
      <c r="W362" s="171">
        <f t="shared" si="78"/>
        <v>553.17819919275883</v>
      </c>
      <c r="X362" s="69">
        <v>53000</v>
      </c>
      <c r="Y362" s="48">
        <f t="shared" si="79"/>
        <v>250</v>
      </c>
      <c r="Z362" s="137">
        <f t="shared" si="80"/>
        <v>96.12604772857776</v>
      </c>
      <c r="AA362" s="69">
        <v>0</v>
      </c>
      <c r="AB362" s="48">
        <f t="shared" si="81"/>
        <v>0</v>
      </c>
      <c r="AC362" s="137">
        <f t="shared" si="82"/>
        <v>0</v>
      </c>
      <c r="AD362" s="70">
        <f t="shared" si="83"/>
        <v>358000</v>
      </c>
      <c r="AE362" s="71">
        <f t="shared" si="84"/>
        <v>1688.6792452830189</v>
      </c>
      <c r="AF362" s="193">
        <f t="shared" si="85"/>
        <v>649.30424692133658</v>
      </c>
      <c r="AG362" s="185">
        <f t="shared" si="86"/>
        <v>3.0109335576114383E-2</v>
      </c>
      <c r="AH362" s="180">
        <f t="shared" si="91"/>
        <v>1.835897435897436</v>
      </c>
      <c r="AI362" s="189">
        <v>212</v>
      </c>
      <c r="AJ362" s="125">
        <v>551.35940000000005</v>
      </c>
      <c r="AK362" s="149">
        <v>110</v>
      </c>
      <c r="AL362" s="221">
        <v>63</v>
      </c>
      <c r="AM362" s="216">
        <v>90.909090909090907</v>
      </c>
      <c r="AN362" s="213">
        <v>18.852459016393443</v>
      </c>
      <c r="AO362" s="127">
        <v>2.3780000000000001</v>
      </c>
      <c r="AP362" s="133">
        <v>3.9E-2</v>
      </c>
      <c r="AQ362" s="224">
        <f t="shared" si="87"/>
        <v>1.0095238095238095</v>
      </c>
      <c r="AR362" s="158">
        <v>210</v>
      </c>
      <c r="AS362" s="229">
        <f t="shared" si="88"/>
        <v>0.56836461126005366</v>
      </c>
      <c r="AT362" s="230">
        <v>373</v>
      </c>
      <c r="AU362" s="203">
        <v>12.735849056603774</v>
      </c>
      <c r="AV362" s="204">
        <v>63.679245283018872</v>
      </c>
      <c r="AW362" s="205">
        <v>23.584905660377359</v>
      </c>
      <c r="AX362" s="123">
        <v>5.7142999999999997</v>
      </c>
      <c r="AY362" s="281">
        <v>11.538461538461538</v>
      </c>
      <c r="AZ362" s="282">
        <v>32.051282051282051</v>
      </c>
      <c r="BA362" s="283">
        <f t="shared" si="89"/>
        <v>56.410256410256416</v>
      </c>
      <c r="BB362" s="234">
        <v>96.666666666666671</v>
      </c>
      <c r="BC362" s="20">
        <v>2011</v>
      </c>
      <c r="BD362" s="263" t="s">
        <v>556</v>
      </c>
      <c r="BE362" s="261" t="s">
        <v>556</v>
      </c>
      <c r="BF362" s="260" t="s">
        <v>557</v>
      </c>
      <c r="BG362" s="256">
        <v>53.030303030303031</v>
      </c>
      <c r="BH362" s="254" t="s">
        <v>557</v>
      </c>
      <c r="BI362" s="249">
        <v>0</v>
      </c>
      <c r="BJ362" s="309" t="s">
        <v>557</v>
      </c>
      <c r="BK362" s="307" t="s">
        <v>557</v>
      </c>
      <c r="BL362" s="319" t="s">
        <v>1728</v>
      </c>
      <c r="BM362" s="320" t="s">
        <v>556</v>
      </c>
      <c r="BN362" s="321" t="s">
        <v>557</v>
      </c>
      <c r="BO362" s="145" t="s">
        <v>557</v>
      </c>
      <c r="BP362" s="14" t="s">
        <v>556</v>
      </c>
      <c r="BQ362" s="14" t="s">
        <v>557</v>
      </c>
    </row>
    <row r="363" spans="1:70" s="56" customFormat="1" ht="13.95" customHeight="1" x14ac:dyDescent="0.3">
      <c r="A363" s="56" t="s">
        <v>459</v>
      </c>
      <c r="B363" s="57" t="s">
        <v>462</v>
      </c>
      <c r="C363" s="55" t="s">
        <v>197</v>
      </c>
      <c r="D363" s="58">
        <v>1</v>
      </c>
      <c r="E363" s="59"/>
      <c r="F363" s="60" t="s">
        <v>453</v>
      </c>
      <c r="G363" s="61" t="s">
        <v>113</v>
      </c>
      <c r="H363" s="61" t="s">
        <v>144</v>
      </c>
      <c r="I363" s="62" t="s">
        <v>144</v>
      </c>
      <c r="J363" s="63" t="s">
        <v>2320</v>
      </c>
      <c r="K363" s="99" t="s">
        <v>1173</v>
      </c>
      <c r="L363" s="130">
        <v>493792282</v>
      </c>
      <c r="M363" s="109" t="s">
        <v>564</v>
      </c>
      <c r="N363" s="12" t="s">
        <v>1172</v>
      </c>
      <c r="O363" s="100"/>
      <c r="P363" s="131">
        <v>724236274</v>
      </c>
      <c r="Q363" s="67"/>
      <c r="R363" s="68"/>
      <c r="S363" s="99"/>
      <c r="T363" s="65"/>
      <c r="U363" s="170">
        <v>0</v>
      </c>
      <c r="V363" s="48">
        <f t="shared" si="77"/>
        <v>0</v>
      </c>
      <c r="W363" s="171">
        <f t="shared" si="78"/>
        <v>0</v>
      </c>
      <c r="X363" s="69">
        <v>0</v>
      </c>
      <c r="Y363" s="48">
        <f t="shared" si="79"/>
        <v>0</v>
      </c>
      <c r="Z363" s="137">
        <f t="shared" si="80"/>
        <v>0</v>
      </c>
      <c r="AA363" s="69">
        <v>0</v>
      </c>
      <c r="AB363" s="48">
        <f t="shared" si="81"/>
        <v>0</v>
      </c>
      <c r="AC363" s="137">
        <f t="shared" si="82"/>
        <v>0</v>
      </c>
      <c r="AD363" s="70">
        <f t="shared" si="83"/>
        <v>0</v>
      </c>
      <c r="AE363" s="71">
        <f t="shared" si="84"/>
        <v>0</v>
      </c>
      <c r="AF363" s="193">
        <f t="shared" si="85"/>
        <v>0</v>
      </c>
      <c r="AG363" s="185">
        <f t="shared" si="86"/>
        <v>0</v>
      </c>
      <c r="AH363" s="180">
        <f t="shared" si="91"/>
        <v>0</v>
      </c>
      <c r="AI363" s="189">
        <v>108</v>
      </c>
      <c r="AJ363" s="125">
        <v>533.52</v>
      </c>
      <c r="AK363" s="149">
        <v>55</v>
      </c>
      <c r="AL363" s="221">
        <v>30</v>
      </c>
      <c r="AM363" s="216">
        <v>88.235294117647058</v>
      </c>
      <c r="AN363" s="213">
        <v>20.689655172413794</v>
      </c>
      <c r="AO363" s="127">
        <v>3.649</v>
      </c>
      <c r="AP363" s="133">
        <v>2.9260000000000002</v>
      </c>
      <c r="AQ363" s="224">
        <f t="shared" si="87"/>
        <v>1.1612903225806452</v>
      </c>
      <c r="AR363" s="158">
        <v>93</v>
      </c>
      <c r="AS363" s="229">
        <f t="shared" si="88"/>
        <v>0.42857142857142855</v>
      </c>
      <c r="AT363" s="230">
        <v>252</v>
      </c>
      <c r="AU363" s="203">
        <v>14.814814814814813</v>
      </c>
      <c r="AV363" s="204">
        <v>65.740740740740748</v>
      </c>
      <c r="AW363" s="205">
        <v>19.444444444444446</v>
      </c>
      <c r="AX363" s="123">
        <v>4.8387000000000002</v>
      </c>
      <c r="AY363" s="281">
        <v>9.67741935483871</v>
      </c>
      <c r="AZ363" s="282">
        <v>35.483870967741936</v>
      </c>
      <c r="BA363" s="283">
        <f t="shared" si="89"/>
        <v>54.838709677419359</v>
      </c>
      <c r="BB363" s="234">
        <v>100</v>
      </c>
      <c r="BC363" s="20" t="s">
        <v>557</v>
      </c>
      <c r="BD363" s="264" t="s">
        <v>557</v>
      </c>
      <c r="BE363" s="261" t="s">
        <v>556</v>
      </c>
      <c r="BF363" s="260" t="s">
        <v>557</v>
      </c>
      <c r="BG363" s="256">
        <v>12.643678160919542</v>
      </c>
      <c r="BH363" s="254" t="s">
        <v>557</v>
      </c>
      <c r="BI363" s="249">
        <v>0</v>
      </c>
      <c r="BJ363" s="309" t="s">
        <v>557</v>
      </c>
      <c r="BK363" s="307" t="s">
        <v>557</v>
      </c>
      <c r="BL363" s="319" t="s">
        <v>1728</v>
      </c>
      <c r="BM363" s="320" t="s">
        <v>556</v>
      </c>
      <c r="BN363" s="321" t="s">
        <v>1838</v>
      </c>
      <c r="BO363" s="145" t="s">
        <v>557</v>
      </c>
      <c r="BP363" s="14" t="s">
        <v>556</v>
      </c>
      <c r="BQ363" s="14" t="s">
        <v>557</v>
      </c>
      <c r="BR363" s="3"/>
    </row>
    <row r="364" spans="1:70" s="56" customFormat="1" ht="13.95" customHeight="1" x14ac:dyDescent="0.3">
      <c r="A364" s="56" t="s">
        <v>459</v>
      </c>
      <c r="B364" s="57" t="s">
        <v>462</v>
      </c>
      <c r="C364" s="55" t="s">
        <v>98</v>
      </c>
      <c r="D364" s="58">
        <v>1</v>
      </c>
      <c r="E364" s="59"/>
      <c r="F364" s="60" t="s">
        <v>452</v>
      </c>
      <c r="G364" s="61" t="s">
        <v>11</v>
      </c>
      <c r="H364" s="61" t="s">
        <v>11</v>
      </c>
      <c r="I364" s="62" t="s">
        <v>11</v>
      </c>
      <c r="J364" s="63" t="s">
        <v>2317</v>
      </c>
      <c r="K364" s="99" t="s">
        <v>970</v>
      </c>
      <c r="L364" s="130">
        <v>495458128</v>
      </c>
      <c r="M364" s="109" t="s">
        <v>537</v>
      </c>
      <c r="N364" s="12" t="s">
        <v>969</v>
      </c>
      <c r="O364" s="100"/>
      <c r="P364" s="131">
        <v>606649132</v>
      </c>
      <c r="Q364" s="67"/>
      <c r="R364" s="68"/>
      <c r="S364" s="99"/>
      <c r="T364" s="65"/>
      <c r="U364" s="170">
        <v>0</v>
      </c>
      <c r="V364" s="48">
        <f t="shared" si="77"/>
        <v>0</v>
      </c>
      <c r="W364" s="171">
        <f t="shared" si="78"/>
        <v>0</v>
      </c>
      <c r="X364" s="69">
        <v>0</v>
      </c>
      <c r="Y364" s="48">
        <f t="shared" si="79"/>
        <v>0</v>
      </c>
      <c r="Z364" s="137">
        <f t="shared" si="80"/>
        <v>0</v>
      </c>
      <c r="AA364" s="69">
        <v>0</v>
      </c>
      <c r="AB364" s="48">
        <f t="shared" si="81"/>
        <v>0</v>
      </c>
      <c r="AC364" s="137">
        <f t="shared" si="82"/>
        <v>0</v>
      </c>
      <c r="AD364" s="70">
        <f t="shared" si="83"/>
        <v>0</v>
      </c>
      <c r="AE364" s="71">
        <f t="shared" si="84"/>
        <v>0</v>
      </c>
      <c r="AF364" s="193">
        <f t="shared" si="85"/>
        <v>0</v>
      </c>
      <c r="AG364" s="185">
        <f t="shared" si="86"/>
        <v>0</v>
      </c>
      <c r="AH364" s="180">
        <f t="shared" si="91"/>
        <v>0</v>
      </c>
      <c r="AI364" s="189">
        <v>324</v>
      </c>
      <c r="AJ364" s="125">
        <v>320.06599999999997</v>
      </c>
      <c r="AK364" s="149">
        <v>105</v>
      </c>
      <c r="AL364" s="221">
        <v>80</v>
      </c>
      <c r="AM364" s="216">
        <v>84.848484848484844</v>
      </c>
      <c r="AN364" s="213">
        <v>1.7241379310344829</v>
      </c>
      <c r="AO364" s="127">
        <v>3.532</v>
      </c>
      <c r="AP364" s="133">
        <v>1.7589999999999999</v>
      </c>
      <c r="AQ364" s="224">
        <f t="shared" si="87"/>
        <v>1.2908366533864541</v>
      </c>
      <c r="AR364" s="158">
        <v>251</v>
      </c>
      <c r="AS364" s="229">
        <f t="shared" si="88"/>
        <v>0.7570093457943925</v>
      </c>
      <c r="AT364" s="230">
        <v>428</v>
      </c>
      <c r="AU364" s="203">
        <v>18.209876543209877</v>
      </c>
      <c r="AV364" s="204">
        <v>64.506172839506178</v>
      </c>
      <c r="AW364" s="205">
        <v>17.283950617283949</v>
      </c>
      <c r="AX364" s="123">
        <v>3.7915000000000001</v>
      </c>
      <c r="AY364" s="281">
        <v>9.0225563909774422</v>
      </c>
      <c r="AZ364" s="282">
        <v>33.082706766917291</v>
      </c>
      <c r="BA364" s="283">
        <f t="shared" si="89"/>
        <v>57.894736842105267</v>
      </c>
      <c r="BB364" s="234">
        <v>85.454545454545453</v>
      </c>
      <c r="BC364" s="20">
        <v>2005</v>
      </c>
      <c r="BD364" s="263" t="s">
        <v>556</v>
      </c>
      <c r="BE364" s="262" t="s">
        <v>557</v>
      </c>
      <c r="BF364" s="260" t="s">
        <v>557</v>
      </c>
      <c r="BG364" s="256">
        <v>0</v>
      </c>
      <c r="BH364" s="248" t="s">
        <v>556</v>
      </c>
      <c r="BI364" s="249">
        <v>58.633093525179859</v>
      </c>
      <c r="BJ364" s="309" t="s">
        <v>557</v>
      </c>
      <c r="BK364" s="307" t="s">
        <v>557</v>
      </c>
      <c r="BL364" s="319" t="s">
        <v>1728</v>
      </c>
      <c r="BM364" s="320" t="s">
        <v>556</v>
      </c>
      <c r="BN364" s="321" t="s">
        <v>1838</v>
      </c>
      <c r="BO364" s="145" t="s">
        <v>557</v>
      </c>
      <c r="BP364" s="14" t="s">
        <v>556</v>
      </c>
      <c r="BQ364" s="14" t="s">
        <v>557</v>
      </c>
    </row>
    <row r="365" spans="1:70" s="72" customFormat="1" ht="13.95" customHeight="1" x14ac:dyDescent="0.3">
      <c r="A365" s="56" t="s">
        <v>459</v>
      </c>
      <c r="B365" s="57" t="s">
        <v>462</v>
      </c>
      <c r="C365" s="55" t="s">
        <v>366</v>
      </c>
      <c r="D365" s="58">
        <v>2</v>
      </c>
      <c r="E365" s="59" t="s">
        <v>710</v>
      </c>
      <c r="F365" s="60" t="s">
        <v>455</v>
      </c>
      <c r="G365" s="61" t="s">
        <v>529</v>
      </c>
      <c r="H365" s="61" t="s">
        <v>529</v>
      </c>
      <c r="I365" s="62" t="s">
        <v>529</v>
      </c>
      <c r="J365" s="63" t="s">
        <v>2318</v>
      </c>
      <c r="K365" s="99" t="s">
        <v>1511</v>
      </c>
      <c r="L365" s="130">
        <v>494547288</v>
      </c>
      <c r="M365" s="109" t="s">
        <v>564</v>
      </c>
      <c r="N365" s="12" t="s">
        <v>1510</v>
      </c>
      <c r="O365" s="100"/>
      <c r="P365" s="131"/>
      <c r="Q365" s="82"/>
      <c r="S365" s="115"/>
      <c r="T365" s="112"/>
      <c r="U365" s="170">
        <v>510726</v>
      </c>
      <c r="V365" s="48">
        <f t="shared" si="77"/>
        <v>3273.8846153846152</v>
      </c>
      <c r="W365" s="171">
        <f t="shared" si="78"/>
        <v>1105.5180225763556</v>
      </c>
      <c r="X365" s="69">
        <v>32000</v>
      </c>
      <c r="Y365" s="48">
        <f t="shared" si="79"/>
        <v>205.12820512820514</v>
      </c>
      <c r="Z365" s="137">
        <f t="shared" si="80"/>
        <v>69.267232767557132</v>
      </c>
      <c r="AA365" s="69">
        <v>0</v>
      </c>
      <c r="AB365" s="48">
        <f t="shared" si="81"/>
        <v>0</v>
      </c>
      <c r="AC365" s="137">
        <f t="shared" si="82"/>
        <v>0</v>
      </c>
      <c r="AD365" s="70">
        <f t="shared" si="83"/>
        <v>542726</v>
      </c>
      <c r="AE365" s="71">
        <f t="shared" si="84"/>
        <v>3479.0128205128203</v>
      </c>
      <c r="AF365" s="193">
        <f t="shared" si="85"/>
        <v>1174.7852553439129</v>
      </c>
      <c r="AG365" s="185">
        <f t="shared" si="86"/>
        <v>8.9632700247729152E-2</v>
      </c>
      <c r="AH365" s="180">
        <f t="shared" si="91"/>
        <v>0.21076737864077669</v>
      </c>
      <c r="AI365" s="189">
        <v>156</v>
      </c>
      <c r="AJ365" s="125">
        <v>461.97890000000001</v>
      </c>
      <c r="AK365" s="149">
        <v>95</v>
      </c>
      <c r="AL365" s="221">
        <v>51</v>
      </c>
      <c r="AM365" s="216">
        <v>100</v>
      </c>
      <c r="AN365" s="213">
        <v>21.428571428571431</v>
      </c>
      <c r="AO365" s="127">
        <v>1.2110000000000001</v>
      </c>
      <c r="AP365" s="133">
        <v>0.51500000000000001</v>
      </c>
      <c r="AQ365" s="224">
        <f t="shared" si="87"/>
        <v>0.91764705882352937</v>
      </c>
      <c r="AR365" s="158">
        <v>170</v>
      </c>
      <c r="AS365" s="229">
        <f t="shared" si="88"/>
        <v>0.40519480519480522</v>
      </c>
      <c r="AT365" s="230">
        <v>385</v>
      </c>
      <c r="AU365" s="203">
        <v>12.179487179487179</v>
      </c>
      <c r="AV365" s="204">
        <v>67.307692307692307</v>
      </c>
      <c r="AW365" s="205">
        <v>20.512820512820511</v>
      </c>
      <c r="AX365" s="123">
        <v>6.6666999999999996</v>
      </c>
      <c r="AY365" s="281">
        <v>17.741935483870968</v>
      </c>
      <c r="AZ365" s="282">
        <v>35.483870967741936</v>
      </c>
      <c r="BA365" s="283">
        <f t="shared" si="89"/>
        <v>46.774193548387089</v>
      </c>
      <c r="BB365" s="234">
        <v>80.555555555555557</v>
      </c>
      <c r="BC365" s="20">
        <v>2015</v>
      </c>
      <c r="BD365" s="263" t="s">
        <v>556</v>
      </c>
      <c r="BE365" s="261" t="s">
        <v>556</v>
      </c>
      <c r="BF365" s="260" t="s">
        <v>557</v>
      </c>
      <c r="BG365" s="256">
        <v>21.568627450980394</v>
      </c>
      <c r="BH365" s="248" t="s">
        <v>556</v>
      </c>
      <c r="BI365" s="249">
        <v>31.410256410256409</v>
      </c>
      <c r="BJ365" s="309" t="s">
        <v>557</v>
      </c>
      <c r="BK365" s="307" t="s">
        <v>557</v>
      </c>
      <c r="BL365" s="319" t="s">
        <v>1728</v>
      </c>
      <c r="BM365" s="320" t="s">
        <v>556</v>
      </c>
      <c r="BN365" s="321" t="s">
        <v>557</v>
      </c>
      <c r="BO365" s="145" t="s">
        <v>557</v>
      </c>
      <c r="BP365" s="14" t="s">
        <v>557</v>
      </c>
      <c r="BQ365" s="14" t="s">
        <v>557</v>
      </c>
    </row>
    <row r="366" spans="1:70" s="56" customFormat="1" ht="13.95" customHeight="1" x14ac:dyDescent="0.3">
      <c r="A366" s="56" t="s">
        <v>461</v>
      </c>
      <c r="B366" s="77" t="s">
        <v>464</v>
      </c>
      <c r="C366" s="74" t="s">
        <v>406</v>
      </c>
      <c r="D366" s="58">
        <v>1</v>
      </c>
      <c r="E366" s="97" t="s">
        <v>1005</v>
      </c>
      <c r="F366" s="60" t="s">
        <v>456</v>
      </c>
      <c r="G366" s="75" t="s">
        <v>378</v>
      </c>
      <c r="H366" s="75" t="s">
        <v>532</v>
      </c>
      <c r="I366" s="76" t="s">
        <v>532</v>
      </c>
      <c r="J366" s="63" t="s">
        <v>2323</v>
      </c>
      <c r="K366" s="99" t="s">
        <v>2321</v>
      </c>
      <c r="L366" s="130">
        <v>499871074</v>
      </c>
      <c r="M366" s="109" t="s">
        <v>564</v>
      </c>
      <c r="N366" s="12" t="s">
        <v>1644</v>
      </c>
      <c r="O366" s="100" t="s">
        <v>1645</v>
      </c>
      <c r="P366" s="131" t="s">
        <v>2322</v>
      </c>
      <c r="Q366" s="84"/>
      <c r="S366" s="105"/>
      <c r="T366" s="112"/>
      <c r="U366" s="172">
        <v>0</v>
      </c>
      <c r="V366" s="135">
        <f t="shared" si="77"/>
        <v>0</v>
      </c>
      <c r="W366" s="173">
        <f t="shared" si="78"/>
        <v>0</v>
      </c>
      <c r="X366" s="69">
        <f>408307+145000</f>
        <v>553307</v>
      </c>
      <c r="Y366" s="48">
        <f t="shared" si="79"/>
        <v>261.98248106060606</v>
      </c>
      <c r="Z366" s="137">
        <f t="shared" si="80"/>
        <v>713.85360341850651</v>
      </c>
      <c r="AA366" s="69">
        <v>0</v>
      </c>
      <c r="AB366" s="48">
        <f t="shared" si="81"/>
        <v>0</v>
      </c>
      <c r="AC366" s="137">
        <f t="shared" si="82"/>
        <v>0</v>
      </c>
      <c r="AD366" s="70">
        <f t="shared" si="83"/>
        <v>553307</v>
      </c>
      <c r="AE366" s="71">
        <f t="shared" si="84"/>
        <v>261.98248106060606</v>
      </c>
      <c r="AF366" s="193">
        <f t="shared" si="85"/>
        <v>713.85360341850651</v>
      </c>
      <c r="AG366" s="185">
        <f t="shared" si="86"/>
        <v>2.5067140850813211E-3</v>
      </c>
      <c r="AH366" s="180">
        <f t="shared" si="91"/>
        <v>1.4399661678594666E-2</v>
      </c>
      <c r="AI366" s="189">
        <v>2112</v>
      </c>
      <c r="AJ366" s="126">
        <v>775.09870000000001</v>
      </c>
      <c r="AK366" s="150">
        <v>503</v>
      </c>
      <c r="AL366" s="221">
        <v>372</v>
      </c>
      <c r="AM366" s="216">
        <v>40.415704387990765</v>
      </c>
      <c r="AN366" s="213">
        <v>0.77369439071566748</v>
      </c>
      <c r="AO366" s="128">
        <v>44.146000000000001</v>
      </c>
      <c r="AP366" s="134">
        <v>7.6849999999999996</v>
      </c>
      <c r="AQ366" s="224">
        <f t="shared" si="87"/>
        <v>0.86699507389162567</v>
      </c>
      <c r="AR366" s="158">
        <v>2436</v>
      </c>
      <c r="AS366" s="229">
        <f t="shared" si="88"/>
        <v>0.75</v>
      </c>
      <c r="AT366" s="230">
        <v>2816</v>
      </c>
      <c r="AU366" s="203">
        <v>13.399621212121213</v>
      </c>
      <c r="AV366" s="204">
        <v>64.0625</v>
      </c>
      <c r="AW366" s="205">
        <v>22.537878787878789</v>
      </c>
      <c r="AX366" s="123">
        <v>6.2043999999999997</v>
      </c>
      <c r="AY366" s="281">
        <v>1.5401540154015401</v>
      </c>
      <c r="AZ366" s="282">
        <v>27.39273927392739</v>
      </c>
      <c r="BA366" s="283">
        <f t="shared" si="89"/>
        <v>71.067106710671069</v>
      </c>
      <c r="BB366" s="234">
        <v>66.899766899766902</v>
      </c>
      <c r="BC366" s="20">
        <v>2006</v>
      </c>
      <c r="BD366" s="263" t="s">
        <v>556</v>
      </c>
      <c r="BE366" s="261" t="s">
        <v>556</v>
      </c>
      <c r="BF366" s="259" t="s">
        <v>556</v>
      </c>
      <c r="BG366" s="256">
        <v>77.675988428158149</v>
      </c>
      <c r="BH366" s="248" t="s">
        <v>556</v>
      </c>
      <c r="BI366" s="249">
        <v>33.502252252252248</v>
      </c>
      <c r="BJ366" s="308" t="s">
        <v>556</v>
      </c>
      <c r="BK366" s="307" t="s">
        <v>556</v>
      </c>
      <c r="BL366" s="319" t="s">
        <v>1728</v>
      </c>
      <c r="BM366" s="320" t="s">
        <v>556</v>
      </c>
      <c r="BN366" s="321" t="s">
        <v>2324</v>
      </c>
      <c r="BO366" s="145" t="s">
        <v>556</v>
      </c>
      <c r="BP366" s="14" t="s">
        <v>556</v>
      </c>
      <c r="BQ366" s="14" t="s">
        <v>556</v>
      </c>
    </row>
    <row r="367" spans="1:70" s="56" customFormat="1" ht="13.95" customHeight="1" x14ac:dyDescent="0.3">
      <c r="A367" s="56" t="s">
        <v>459</v>
      </c>
      <c r="B367" s="57" t="s">
        <v>462</v>
      </c>
      <c r="C367" s="55" t="s">
        <v>367</v>
      </c>
      <c r="D367" s="58">
        <v>3</v>
      </c>
      <c r="E367" s="59" t="s">
        <v>711</v>
      </c>
      <c r="F367" s="60" t="s">
        <v>455</v>
      </c>
      <c r="G367" s="61" t="s">
        <v>528</v>
      </c>
      <c r="H367" s="61" t="s">
        <v>528</v>
      </c>
      <c r="I367" s="62" t="s">
        <v>528</v>
      </c>
      <c r="J367" s="63" t="s">
        <v>2326</v>
      </c>
      <c r="K367" s="99" t="s">
        <v>2325</v>
      </c>
      <c r="L367" s="130">
        <v>494322932</v>
      </c>
      <c r="M367" s="109" t="s">
        <v>564</v>
      </c>
      <c r="N367" s="12" t="s">
        <v>1512</v>
      </c>
      <c r="O367" s="100" t="s">
        <v>1513</v>
      </c>
      <c r="P367" s="131">
        <v>724179618</v>
      </c>
      <c r="Q367" s="84"/>
      <c r="S367" s="105"/>
      <c r="T367" s="112"/>
      <c r="U367" s="170">
        <f>302000+374500</f>
        <v>676500</v>
      </c>
      <c r="V367" s="48">
        <f t="shared" si="77"/>
        <v>1708.3333333333333</v>
      </c>
      <c r="W367" s="171">
        <f t="shared" si="78"/>
        <v>932.91892334674765</v>
      </c>
      <c r="X367" s="69">
        <v>0</v>
      </c>
      <c r="Y367" s="48">
        <f t="shared" si="79"/>
        <v>0</v>
      </c>
      <c r="Z367" s="137">
        <f t="shared" si="80"/>
        <v>0</v>
      </c>
      <c r="AA367" s="69">
        <v>300000</v>
      </c>
      <c r="AB367" s="48">
        <f t="shared" si="81"/>
        <v>757.57575757575762</v>
      </c>
      <c r="AC367" s="137">
        <f t="shared" si="82"/>
        <v>413.71127421141802</v>
      </c>
      <c r="AD367" s="70">
        <f t="shared" si="83"/>
        <v>976500</v>
      </c>
      <c r="AE367" s="71">
        <f t="shared" si="84"/>
        <v>2465.909090909091</v>
      </c>
      <c r="AF367" s="193">
        <f t="shared" si="85"/>
        <v>1346.6301975581657</v>
      </c>
      <c r="AG367" s="185">
        <f t="shared" si="86"/>
        <v>4.6246744020838268E-2</v>
      </c>
      <c r="AH367" s="180">
        <f t="shared" si="91"/>
        <v>0.21821229050279331</v>
      </c>
      <c r="AI367" s="189">
        <v>396</v>
      </c>
      <c r="AJ367" s="125">
        <v>725.14340000000004</v>
      </c>
      <c r="AK367" s="149">
        <v>159</v>
      </c>
      <c r="AL367" s="221">
        <v>113</v>
      </c>
      <c r="AM367" s="216">
        <v>91.970802919708035</v>
      </c>
      <c r="AN367" s="213">
        <v>0.56497175141242939</v>
      </c>
      <c r="AO367" s="127">
        <v>4.2229999999999999</v>
      </c>
      <c r="AP367" s="133">
        <v>0.89500000000000002</v>
      </c>
      <c r="AQ367" s="224">
        <f t="shared" si="87"/>
        <v>1.1511627906976745</v>
      </c>
      <c r="AR367" s="158">
        <v>344</v>
      </c>
      <c r="AS367" s="229">
        <f t="shared" si="88"/>
        <v>0.70967741935483875</v>
      </c>
      <c r="AT367" s="230">
        <v>558</v>
      </c>
      <c r="AU367" s="203">
        <v>15.909090909090908</v>
      </c>
      <c r="AV367" s="204">
        <v>69.696969696969703</v>
      </c>
      <c r="AW367" s="205">
        <v>14.393939393939394</v>
      </c>
      <c r="AX367" s="123">
        <v>1.1029</v>
      </c>
      <c r="AY367" s="281">
        <v>11.76470588235294</v>
      </c>
      <c r="AZ367" s="282">
        <v>34.803921568627452</v>
      </c>
      <c r="BA367" s="283">
        <f t="shared" si="89"/>
        <v>53.431372549019606</v>
      </c>
      <c r="BB367" s="234">
        <v>91.891891891891888</v>
      </c>
      <c r="BC367" s="20">
        <v>2011</v>
      </c>
      <c r="BD367" s="263" t="s">
        <v>556</v>
      </c>
      <c r="BE367" s="262" t="s">
        <v>557</v>
      </c>
      <c r="BF367" s="260" t="s">
        <v>557</v>
      </c>
      <c r="BG367" s="256">
        <v>0</v>
      </c>
      <c r="BH367" s="254" t="s">
        <v>557</v>
      </c>
      <c r="BI367" s="249">
        <v>0</v>
      </c>
      <c r="BJ367" s="308" t="s">
        <v>556</v>
      </c>
      <c r="BK367" s="307" t="s">
        <v>750</v>
      </c>
      <c r="BL367" s="319" t="s">
        <v>1728</v>
      </c>
      <c r="BM367" s="320" t="s">
        <v>557</v>
      </c>
      <c r="BN367" s="321" t="s">
        <v>557</v>
      </c>
      <c r="BO367" s="145" t="s">
        <v>557</v>
      </c>
      <c r="BP367" s="14" t="s">
        <v>557</v>
      </c>
      <c r="BQ367" s="14" t="s">
        <v>556</v>
      </c>
      <c r="BR367" s="72"/>
    </row>
    <row r="368" spans="1:70" s="56" customFormat="1" ht="13.95" customHeight="1" x14ac:dyDescent="0.3">
      <c r="A368" s="56" t="s">
        <v>459</v>
      </c>
      <c r="B368" s="57" t="s">
        <v>462</v>
      </c>
      <c r="C368" s="55" t="s">
        <v>99</v>
      </c>
      <c r="D368" s="58">
        <v>1</v>
      </c>
      <c r="E368" s="59"/>
      <c r="F368" s="60" t="s">
        <v>452</v>
      </c>
      <c r="G368" s="61" t="s">
        <v>11</v>
      </c>
      <c r="H368" s="61" t="s">
        <v>11</v>
      </c>
      <c r="I368" s="62" t="s">
        <v>11</v>
      </c>
      <c r="J368" s="63" t="s">
        <v>2315</v>
      </c>
      <c r="K368" s="99" t="s">
        <v>972</v>
      </c>
      <c r="L368" s="130">
        <v>495451128</v>
      </c>
      <c r="M368" s="109" t="s">
        <v>564</v>
      </c>
      <c r="N368" s="12" t="s">
        <v>971</v>
      </c>
      <c r="O368" s="100"/>
      <c r="P368" s="131">
        <v>725081330</v>
      </c>
      <c r="Q368" s="67"/>
      <c r="R368" s="68"/>
      <c r="S368" s="99"/>
      <c r="T368" s="65"/>
      <c r="U368" s="170">
        <v>376438</v>
      </c>
      <c r="V368" s="48">
        <f t="shared" si="77"/>
        <v>918.14146341463413</v>
      </c>
      <c r="W368" s="171">
        <f t="shared" si="78"/>
        <v>2053.1339311036932</v>
      </c>
      <c r="X368" s="69">
        <v>0</v>
      </c>
      <c r="Y368" s="48">
        <f t="shared" si="79"/>
        <v>0</v>
      </c>
      <c r="Z368" s="137">
        <f t="shared" si="80"/>
        <v>0</v>
      </c>
      <c r="AA368" s="69">
        <v>0</v>
      </c>
      <c r="AB368" s="48">
        <f t="shared" si="81"/>
        <v>0</v>
      </c>
      <c r="AC368" s="137">
        <f t="shared" si="82"/>
        <v>0</v>
      </c>
      <c r="AD368" s="70">
        <f t="shared" si="83"/>
        <v>376438</v>
      </c>
      <c r="AE368" s="71">
        <f t="shared" si="84"/>
        <v>918.14146341463413</v>
      </c>
      <c r="AF368" s="193">
        <f t="shared" si="85"/>
        <v>2053.1339311036932</v>
      </c>
      <c r="AG368" s="185">
        <f t="shared" si="86"/>
        <v>7.4050949149208232E-3</v>
      </c>
      <c r="AH368" s="180">
        <f t="shared" si="91"/>
        <v>1.0180878972278566E-2</v>
      </c>
      <c r="AI368" s="189">
        <v>410</v>
      </c>
      <c r="AJ368" s="125">
        <v>183.34800000000001</v>
      </c>
      <c r="AK368" s="149">
        <v>151</v>
      </c>
      <c r="AL368" s="221">
        <v>116</v>
      </c>
      <c r="AM368" s="216">
        <v>84.507042253521121</v>
      </c>
      <c r="AN368" s="213">
        <v>6.4705882352941178</v>
      </c>
      <c r="AO368" s="127">
        <v>10.167</v>
      </c>
      <c r="AP368" s="133">
        <v>7.3949999999999996</v>
      </c>
      <c r="AQ368" s="224">
        <f t="shared" si="87"/>
        <v>1.2094395280235988</v>
      </c>
      <c r="AR368" s="158">
        <v>339</v>
      </c>
      <c r="AS368" s="229">
        <f t="shared" si="88"/>
        <v>0.9447004608294931</v>
      </c>
      <c r="AT368" s="230">
        <v>434</v>
      </c>
      <c r="AU368" s="203">
        <v>15.121951219512194</v>
      </c>
      <c r="AV368" s="204">
        <v>68.536585365853654</v>
      </c>
      <c r="AW368" s="205">
        <v>16.341463414634148</v>
      </c>
      <c r="AX368" s="123">
        <v>6.8258999999999999</v>
      </c>
      <c r="AY368" s="281">
        <v>2.1390374331550799</v>
      </c>
      <c r="AZ368" s="282">
        <v>34.759358288770052</v>
      </c>
      <c r="BA368" s="283">
        <f t="shared" si="89"/>
        <v>63.101604278074866</v>
      </c>
      <c r="BB368" s="234">
        <v>77.192982456140356</v>
      </c>
      <c r="BC368" s="20">
        <v>2011</v>
      </c>
      <c r="BD368" s="263" t="s">
        <v>556</v>
      </c>
      <c r="BE368" s="261" t="s">
        <v>556</v>
      </c>
      <c r="BF368" s="260" t="s">
        <v>557</v>
      </c>
      <c r="BG368" s="257" t="s">
        <v>1686</v>
      </c>
      <c r="BH368" s="248" t="s">
        <v>556</v>
      </c>
      <c r="BI368" s="249">
        <v>49.066666666666663</v>
      </c>
      <c r="BJ368" s="309" t="s">
        <v>557</v>
      </c>
      <c r="BK368" s="307" t="s">
        <v>557</v>
      </c>
      <c r="BL368" s="319" t="s">
        <v>1728</v>
      </c>
      <c r="BM368" s="320" t="s">
        <v>556</v>
      </c>
      <c r="BN368" s="321" t="s">
        <v>1838</v>
      </c>
      <c r="BO368" s="145" t="s">
        <v>557</v>
      </c>
      <c r="BP368" s="14" t="s">
        <v>557</v>
      </c>
      <c r="BQ368" s="14" t="s">
        <v>557</v>
      </c>
    </row>
    <row r="369" spans="1:70" s="72" customFormat="1" ht="13.95" customHeight="1" x14ac:dyDescent="0.3">
      <c r="A369" s="56" t="s">
        <v>459</v>
      </c>
      <c r="B369" s="57" t="s">
        <v>462</v>
      </c>
      <c r="C369" s="55" t="s">
        <v>100</v>
      </c>
      <c r="D369" s="58">
        <v>1</v>
      </c>
      <c r="E369" s="59"/>
      <c r="F369" s="60" t="s">
        <v>452</v>
      </c>
      <c r="G369" s="61" t="s">
        <v>7</v>
      </c>
      <c r="H369" s="61" t="s">
        <v>7</v>
      </c>
      <c r="I369" s="62" t="s">
        <v>7</v>
      </c>
      <c r="J369" s="63" t="s">
        <v>2327</v>
      </c>
      <c r="K369" s="99" t="s">
        <v>974</v>
      </c>
      <c r="L369" s="130">
        <v>495496291</v>
      </c>
      <c r="M369" s="109" t="s">
        <v>564</v>
      </c>
      <c r="N369" s="12" t="s">
        <v>973</v>
      </c>
      <c r="O369" s="100"/>
      <c r="P369" s="131">
        <v>603591681</v>
      </c>
      <c r="Q369" s="67"/>
      <c r="R369" s="68"/>
      <c r="S369" s="99"/>
      <c r="T369" s="65"/>
      <c r="U369" s="170">
        <v>544939</v>
      </c>
      <c r="V369" s="48">
        <f t="shared" si="77"/>
        <v>4865.5267857142853</v>
      </c>
      <c r="W369" s="171">
        <f t="shared" si="78"/>
        <v>2713.201876849665</v>
      </c>
      <c r="X369" s="69">
        <v>0</v>
      </c>
      <c r="Y369" s="48">
        <f t="shared" si="79"/>
        <v>0</v>
      </c>
      <c r="Z369" s="137">
        <f t="shared" si="80"/>
        <v>0</v>
      </c>
      <c r="AA369" s="69">
        <v>0</v>
      </c>
      <c r="AB369" s="48">
        <f t="shared" si="81"/>
        <v>0</v>
      </c>
      <c r="AC369" s="137">
        <f t="shared" si="82"/>
        <v>0</v>
      </c>
      <c r="AD369" s="70">
        <f t="shared" si="83"/>
        <v>544939</v>
      </c>
      <c r="AE369" s="71">
        <f t="shared" si="84"/>
        <v>4865.5267857142853</v>
      </c>
      <c r="AF369" s="193">
        <f t="shared" si="85"/>
        <v>2713.201876849665</v>
      </c>
      <c r="AG369" s="185">
        <f t="shared" si="86"/>
        <v>8.2566515151515155E-2</v>
      </c>
      <c r="AH369" s="180">
        <f t="shared" si="91"/>
        <v>0.15264397759103643</v>
      </c>
      <c r="AI369" s="189">
        <v>112</v>
      </c>
      <c r="AJ369" s="125">
        <v>200.84719999999999</v>
      </c>
      <c r="AK369" s="149">
        <v>63</v>
      </c>
      <c r="AL369" s="221">
        <v>38</v>
      </c>
      <c r="AM369" s="216">
        <v>97.61904761904762</v>
      </c>
      <c r="AN369" s="213">
        <v>29.23076923076923</v>
      </c>
      <c r="AO369" s="127">
        <v>1.32</v>
      </c>
      <c r="AP369" s="133">
        <v>0.71399999999999997</v>
      </c>
      <c r="AQ369" s="224">
        <f t="shared" si="87"/>
        <v>0.88888888888888884</v>
      </c>
      <c r="AR369" s="158">
        <v>126</v>
      </c>
      <c r="AS369" s="229">
        <f t="shared" si="88"/>
        <v>0.39160839160839161</v>
      </c>
      <c r="AT369" s="230">
        <v>286</v>
      </c>
      <c r="AU369" s="203">
        <v>12.5</v>
      </c>
      <c r="AV369" s="204">
        <v>65.178571428571431</v>
      </c>
      <c r="AW369" s="205">
        <v>22.321428571428573</v>
      </c>
      <c r="AX369" s="123">
        <v>2.6316000000000002</v>
      </c>
      <c r="AY369" s="281">
        <v>11.76470588235294</v>
      </c>
      <c r="AZ369" s="282">
        <v>43.137254901960787</v>
      </c>
      <c r="BA369" s="283">
        <f t="shared" si="89"/>
        <v>45.098039215686271</v>
      </c>
      <c r="BB369" s="234">
        <v>100</v>
      </c>
      <c r="BC369" s="20">
        <v>2009</v>
      </c>
      <c r="BD369" s="263" t="s">
        <v>556</v>
      </c>
      <c r="BE369" s="261" t="s">
        <v>556</v>
      </c>
      <c r="BF369" s="260" t="s">
        <v>557</v>
      </c>
      <c r="BG369" s="256">
        <v>50.819672131147541</v>
      </c>
      <c r="BH369" s="248" t="s">
        <v>556</v>
      </c>
      <c r="BI369" s="249">
        <v>49.122807017543856</v>
      </c>
      <c r="BJ369" s="309" t="s">
        <v>557</v>
      </c>
      <c r="BK369" s="307" t="s">
        <v>557</v>
      </c>
      <c r="BL369" s="319" t="s">
        <v>1728</v>
      </c>
      <c r="BM369" s="320" t="s">
        <v>556</v>
      </c>
      <c r="BN369" s="321" t="s">
        <v>1767</v>
      </c>
      <c r="BO369" s="145" t="s">
        <v>557</v>
      </c>
      <c r="BP369" s="14" t="s">
        <v>556</v>
      </c>
      <c r="BQ369" s="14" t="s">
        <v>557</v>
      </c>
      <c r="BR369" s="56"/>
    </row>
    <row r="370" spans="1:70" s="72" customFormat="1" ht="13.95" customHeight="1" x14ac:dyDescent="0.3">
      <c r="A370" s="56" t="s">
        <v>459</v>
      </c>
      <c r="B370" s="57" t="s">
        <v>462</v>
      </c>
      <c r="C370" s="55" t="s">
        <v>198</v>
      </c>
      <c r="D370" s="58">
        <v>4</v>
      </c>
      <c r="E370" s="59" t="s">
        <v>620</v>
      </c>
      <c r="F370" s="60" t="s">
        <v>453</v>
      </c>
      <c r="G370" s="61" t="s">
        <v>113</v>
      </c>
      <c r="H370" s="61" t="s">
        <v>144</v>
      </c>
      <c r="I370" s="62" t="s">
        <v>144</v>
      </c>
      <c r="J370" s="63" t="s">
        <v>2328</v>
      </c>
      <c r="K370" s="99" t="s">
        <v>1175</v>
      </c>
      <c r="L370" s="130">
        <v>493692968</v>
      </c>
      <c r="M370" s="109" t="s">
        <v>564</v>
      </c>
      <c r="N370" s="12" t="s">
        <v>1174</v>
      </c>
      <c r="O370" s="100"/>
      <c r="P370" s="131">
        <v>733668384</v>
      </c>
      <c r="Q370" s="67"/>
      <c r="R370" s="68"/>
      <c r="S370" s="99"/>
      <c r="T370" s="65"/>
      <c r="U370" s="170">
        <v>285000</v>
      </c>
      <c r="V370" s="48">
        <f t="shared" si="77"/>
        <v>1492.1465968586388</v>
      </c>
      <c r="W370" s="171">
        <f t="shared" si="78"/>
        <v>401.86232873438325</v>
      </c>
      <c r="X370" s="69">
        <v>74931</v>
      </c>
      <c r="Y370" s="48">
        <f t="shared" si="79"/>
        <v>392.30890052356023</v>
      </c>
      <c r="Z370" s="137">
        <f t="shared" si="80"/>
        <v>105.65595141893358</v>
      </c>
      <c r="AA370" s="69">
        <v>0</v>
      </c>
      <c r="AB370" s="48">
        <f t="shared" si="81"/>
        <v>0</v>
      </c>
      <c r="AC370" s="137">
        <f t="shared" si="82"/>
        <v>0</v>
      </c>
      <c r="AD370" s="70">
        <f t="shared" si="83"/>
        <v>359931</v>
      </c>
      <c r="AE370" s="71">
        <f t="shared" si="84"/>
        <v>1884.4554973821989</v>
      </c>
      <c r="AF370" s="193">
        <f t="shared" si="85"/>
        <v>507.51828015331688</v>
      </c>
      <c r="AG370" s="185">
        <f t="shared" si="86"/>
        <v>2.1494834278889218E-2</v>
      </c>
      <c r="AH370" s="180">
        <f t="shared" si="91"/>
        <v>7.2786855409504553E-2</v>
      </c>
      <c r="AI370" s="189">
        <v>191</v>
      </c>
      <c r="AJ370" s="125">
        <v>709.19809999999995</v>
      </c>
      <c r="AK370" s="149">
        <v>129</v>
      </c>
      <c r="AL370" s="221">
        <v>60</v>
      </c>
      <c r="AM370" s="216">
        <v>80.769230769230774</v>
      </c>
      <c r="AN370" s="213">
        <v>18.64406779661017</v>
      </c>
      <c r="AO370" s="127">
        <v>3.3490000000000002</v>
      </c>
      <c r="AP370" s="133">
        <v>0.98899999999999999</v>
      </c>
      <c r="AQ370" s="224">
        <f t="shared" si="87"/>
        <v>0.95024875621890548</v>
      </c>
      <c r="AR370" s="158">
        <v>201</v>
      </c>
      <c r="AS370" s="229">
        <f t="shared" si="88"/>
        <v>0.38742393509127787</v>
      </c>
      <c r="AT370" s="230">
        <v>493</v>
      </c>
      <c r="AU370" s="203">
        <v>12.56544502617801</v>
      </c>
      <c r="AV370" s="204">
        <v>65.968586387434556</v>
      </c>
      <c r="AW370" s="205">
        <v>21.465968586387437</v>
      </c>
      <c r="AX370" s="123">
        <v>0.8</v>
      </c>
      <c r="AY370" s="281">
        <v>12.195121951219512</v>
      </c>
      <c r="AZ370" s="282">
        <v>23.170731707317074</v>
      </c>
      <c r="BA370" s="283">
        <f t="shared" si="89"/>
        <v>64.634146341463421</v>
      </c>
      <c r="BB370" s="234">
        <v>90</v>
      </c>
      <c r="BC370" s="20">
        <v>2016</v>
      </c>
      <c r="BD370" s="263" t="s">
        <v>556</v>
      </c>
      <c r="BE370" s="261" t="s">
        <v>556</v>
      </c>
      <c r="BF370" s="260" t="s">
        <v>557</v>
      </c>
      <c r="BG370" s="256">
        <v>24.102564102564102</v>
      </c>
      <c r="BH370" s="254" t="s">
        <v>557</v>
      </c>
      <c r="BI370" s="249">
        <v>0</v>
      </c>
      <c r="BJ370" s="309" t="s">
        <v>557</v>
      </c>
      <c r="BK370" s="307" t="s">
        <v>557</v>
      </c>
      <c r="BL370" s="319" t="s">
        <v>1728</v>
      </c>
      <c r="BM370" s="320" t="s">
        <v>556</v>
      </c>
      <c r="BN370" s="321" t="s">
        <v>1920</v>
      </c>
      <c r="BO370" s="145" t="s">
        <v>999</v>
      </c>
      <c r="BP370" s="14" t="s">
        <v>557</v>
      </c>
      <c r="BQ370" s="14" t="s">
        <v>556</v>
      </c>
      <c r="BR370" s="56"/>
    </row>
    <row r="371" spans="1:70" s="72" customFormat="1" ht="13.95" customHeight="1" x14ac:dyDescent="0.3">
      <c r="A371" s="56" t="s">
        <v>459</v>
      </c>
      <c r="B371" s="57" t="s">
        <v>462</v>
      </c>
      <c r="C371" s="55" t="s">
        <v>282</v>
      </c>
      <c r="D371" s="58">
        <v>2</v>
      </c>
      <c r="E371" s="59" t="s">
        <v>665</v>
      </c>
      <c r="F371" s="60" t="s">
        <v>454</v>
      </c>
      <c r="G371" s="61" t="s">
        <v>242</v>
      </c>
      <c r="H371" s="61" t="s">
        <v>242</v>
      </c>
      <c r="I371" s="62" t="s">
        <v>242</v>
      </c>
      <c r="J371" s="63" t="s">
        <v>2329</v>
      </c>
      <c r="K371" s="99" t="s">
        <v>1363</v>
      </c>
      <c r="L371" s="130">
        <v>491881126</v>
      </c>
      <c r="M371" s="109" t="s">
        <v>564</v>
      </c>
      <c r="N371" s="12" t="s">
        <v>1362</v>
      </c>
      <c r="O371" s="100"/>
      <c r="P371" s="131">
        <v>725081171</v>
      </c>
      <c r="Q371" s="67"/>
      <c r="R371" s="68"/>
      <c r="S371" s="99"/>
      <c r="T371" s="65"/>
      <c r="U371" s="170">
        <v>80000</v>
      </c>
      <c r="V371" s="48">
        <f t="shared" si="77"/>
        <v>444.44444444444446</v>
      </c>
      <c r="W371" s="171">
        <f t="shared" si="78"/>
        <v>106.41950382172392</v>
      </c>
      <c r="X371" s="69">
        <v>53000</v>
      </c>
      <c r="Y371" s="48">
        <f t="shared" si="79"/>
        <v>294.44444444444446</v>
      </c>
      <c r="Z371" s="137">
        <f t="shared" si="80"/>
        <v>70.5029212818921</v>
      </c>
      <c r="AA371" s="69">
        <v>0</v>
      </c>
      <c r="AB371" s="48">
        <f t="shared" si="81"/>
        <v>0</v>
      </c>
      <c r="AC371" s="137">
        <f t="shared" si="82"/>
        <v>0</v>
      </c>
      <c r="AD371" s="70">
        <f t="shared" si="83"/>
        <v>133000</v>
      </c>
      <c r="AE371" s="71">
        <f t="shared" si="84"/>
        <v>738.88888888888891</v>
      </c>
      <c r="AF371" s="193">
        <f t="shared" si="85"/>
        <v>176.92242510361601</v>
      </c>
      <c r="AG371" s="185">
        <f t="shared" si="86"/>
        <v>1.8986438258386869E-2</v>
      </c>
      <c r="AH371" s="180">
        <f t="shared" si="91"/>
        <v>0.17051282051282049</v>
      </c>
      <c r="AI371" s="189">
        <v>180</v>
      </c>
      <c r="AJ371" s="125">
        <v>751.74189999999999</v>
      </c>
      <c r="AK371" s="149">
        <v>102</v>
      </c>
      <c r="AL371" s="221">
        <v>64</v>
      </c>
      <c r="AM371" s="216">
        <v>97.183098591549296</v>
      </c>
      <c r="AN371" s="213">
        <v>1.1363636363636365</v>
      </c>
      <c r="AO371" s="127">
        <v>1.401</v>
      </c>
      <c r="AP371" s="133">
        <v>0.156</v>
      </c>
      <c r="AQ371" s="224">
        <f t="shared" si="87"/>
        <v>1.0285714285714285</v>
      </c>
      <c r="AR371" s="158">
        <v>175</v>
      </c>
      <c r="AS371" s="229">
        <f t="shared" si="88"/>
        <v>0.41002277904328016</v>
      </c>
      <c r="AT371" s="230">
        <v>439</v>
      </c>
      <c r="AU371" s="203">
        <v>12.777777777777777</v>
      </c>
      <c r="AV371" s="204">
        <v>66.666666666666671</v>
      </c>
      <c r="AW371" s="205">
        <v>20.555555555555554</v>
      </c>
      <c r="AX371" s="123">
        <v>4.0323000000000002</v>
      </c>
      <c r="AY371" s="281">
        <v>8.8607594936708853</v>
      </c>
      <c r="AZ371" s="282">
        <v>50.632911392405063</v>
      </c>
      <c r="BA371" s="283">
        <f t="shared" si="89"/>
        <v>40.506329113924053</v>
      </c>
      <c r="BB371" s="234">
        <v>90.909090909090907</v>
      </c>
      <c r="BC371" s="19">
        <v>2016</v>
      </c>
      <c r="BD371" s="263" t="s">
        <v>556</v>
      </c>
      <c r="BE371" s="262" t="s">
        <v>557</v>
      </c>
      <c r="BF371" s="260" t="s">
        <v>557</v>
      </c>
      <c r="BG371" s="256">
        <v>0</v>
      </c>
      <c r="BH371" s="254" t="s">
        <v>557</v>
      </c>
      <c r="BI371" s="249">
        <v>0</v>
      </c>
      <c r="BJ371" s="309" t="s">
        <v>557</v>
      </c>
      <c r="BK371" s="307" t="s">
        <v>557</v>
      </c>
      <c r="BL371" s="319" t="s">
        <v>1728</v>
      </c>
      <c r="BM371" s="320" t="s">
        <v>556</v>
      </c>
      <c r="BN371" s="321" t="s">
        <v>557</v>
      </c>
      <c r="BO371" s="145" t="s">
        <v>557</v>
      </c>
      <c r="BP371" s="10" t="s">
        <v>556</v>
      </c>
      <c r="BQ371" s="10" t="s">
        <v>557</v>
      </c>
      <c r="BR371" s="56"/>
    </row>
    <row r="372" spans="1:70" s="56" customFormat="1" ht="13.95" customHeight="1" x14ac:dyDescent="0.3">
      <c r="A372" s="56" t="s">
        <v>459</v>
      </c>
      <c r="B372" s="57" t="s">
        <v>462</v>
      </c>
      <c r="C372" s="55" t="s">
        <v>283</v>
      </c>
      <c r="D372" s="58">
        <v>1</v>
      </c>
      <c r="E372" s="59"/>
      <c r="F372" s="60" t="s">
        <v>454</v>
      </c>
      <c r="G372" s="61" t="s">
        <v>223</v>
      </c>
      <c r="H372" s="61" t="s">
        <v>223</v>
      </c>
      <c r="I372" s="62" t="s">
        <v>223</v>
      </c>
      <c r="J372" s="63" t="s">
        <v>2331</v>
      </c>
      <c r="K372" s="101" t="s">
        <v>2330</v>
      </c>
      <c r="L372" s="130">
        <v>491521400</v>
      </c>
      <c r="M372" s="109" t="s">
        <v>564</v>
      </c>
      <c r="N372" s="12" t="s">
        <v>1364</v>
      </c>
      <c r="O372" s="100" t="s">
        <v>2505</v>
      </c>
      <c r="P372" s="131">
        <v>728126379</v>
      </c>
      <c r="Q372" s="67"/>
      <c r="R372" s="68"/>
      <c r="S372" s="99"/>
      <c r="T372" s="65"/>
      <c r="U372" s="170">
        <f>43000+29824+138578+20000</f>
        <v>231402</v>
      </c>
      <c r="V372" s="48">
        <f t="shared" si="77"/>
        <v>776.51677852348996</v>
      </c>
      <c r="W372" s="171">
        <f t="shared" si="78"/>
        <v>111.57026706046034</v>
      </c>
      <c r="X372" s="69">
        <v>0</v>
      </c>
      <c r="Y372" s="48">
        <f t="shared" si="79"/>
        <v>0</v>
      </c>
      <c r="Z372" s="137">
        <f t="shared" si="80"/>
        <v>0</v>
      </c>
      <c r="AA372" s="69">
        <v>200000</v>
      </c>
      <c r="AB372" s="48">
        <f t="shared" si="81"/>
        <v>671.14093959731542</v>
      </c>
      <c r="AC372" s="137">
        <f t="shared" si="82"/>
        <v>96.429820883536308</v>
      </c>
      <c r="AD372" s="70">
        <f t="shared" si="83"/>
        <v>431402</v>
      </c>
      <c r="AE372" s="71">
        <f t="shared" si="84"/>
        <v>1447.6577181208054</v>
      </c>
      <c r="AF372" s="193">
        <f t="shared" si="85"/>
        <v>208.00008794399665</v>
      </c>
      <c r="AG372" s="185">
        <f t="shared" si="86"/>
        <v>1.1980061094140515E-2</v>
      </c>
      <c r="AH372" s="180">
        <f t="shared" si="91"/>
        <v>2.5648156956004756E-2</v>
      </c>
      <c r="AI372" s="189">
        <v>298</v>
      </c>
      <c r="AJ372" s="125">
        <v>2074.0472</v>
      </c>
      <c r="AK372" s="149">
        <v>149</v>
      </c>
      <c r="AL372" s="221">
        <v>75</v>
      </c>
      <c r="AM372" s="216">
        <v>70.535714285714292</v>
      </c>
      <c r="AN372" s="213">
        <v>1.4388489208633093</v>
      </c>
      <c r="AO372" s="127">
        <v>7.202</v>
      </c>
      <c r="AP372" s="133">
        <v>3.3639999999999999</v>
      </c>
      <c r="AQ372" s="224">
        <f t="shared" si="87"/>
        <v>0.96753246753246758</v>
      </c>
      <c r="AR372" s="158">
        <v>308</v>
      </c>
      <c r="AS372" s="229">
        <f t="shared" si="88"/>
        <v>0.27465437788018432</v>
      </c>
      <c r="AT372" s="230">
        <v>1085</v>
      </c>
      <c r="AU372" s="203">
        <v>18.791946308724832</v>
      </c>
      <c r="AV372" s="204">
        <v>64.429530201342288</v>
      </c>
      <c r="AW372" s="205">
        <v>16.778523489932887</v>
      </c>
      <c r="AX372" s="123">
        <v>8.1218000000000004</v>
      </c>
      <c r="AY372" s="281">
        <v>14.754098360655737</v>
      </c>
      <c r="AZ372" s="282">
        <v>35.245901639344261</v>
      </c>
      <c r="BA372" s="283">
        <f t="shared" si="89"/>
        <v>50.000000000000007</v>
      </c>
      <c r="BB372" s="234">
        <v>82</v>
      </c>
      <c r="BC372" s="19">
        <v>2010</v>
      </c>
      <c r="BD372" s="263" t="s">
        <v>556</v>
      </c>
      <c r="BE372" s="262" t="s">
        <v>557</v>
      </c>
      <c r="BF372" s="260" t="s">
        <v>557</v>
      </c>
      <c r="BG372" s="256">
        <v>0</v>
      </c>
      <c r="BH372" s="254" t="s">
        <v>557</v>
      </c>
      <c r="BI372" s="249">
        <v>0</v>
      </c>
      <c r="BJ372" s="308" t="s">
        <v>556</v>
      </c>
      <c r="BK372" s="307" t="s">
        <v>557</v>
      </c>
      <c r="BL372" s="319" t="s">
        <v>1728</v>
      </c>
      <c r="BM372" s="320" t="s">
        <v>556</v>
      </c>
      <c r="BN372" s="321" t="s">
        <v>1838</v>
      </c>
      <c r="BO372" s="21" t="s">
        <v>557</v>
      </c>
      <c r="BP372" s="10" t="s">
        <v>556</v>
      </c>
      <c r="BQ372" s="10" t="s">
        <v>557</v>
      </c>
    </row>
    <row r="373" spans="1:70" s="56" customFormat="1" ht="13.95" customHeight="1" x14ac:dyDescent="0.3">
      <c r="A373" s="3" t="s">
        <v>459</v>
      </c>
      <c r="B373" s="77" t="s">
        <v>464</v>
      </c>
      <c r="C373" s="74" t="s">
        <v>439</v>
      </c>
      <c r="D373" s="58">
        <v>4</v>
      </c>
      <c r="E373" s="59" t="s">
        <v>739</v>
      </c>
      <c r="F373" s="60" t="s">
        <v>456</v>
      </c>
      <c r="G373" s="75" t="s">
        <v>389</v>
      </c>
      <c r="H373" s="75" t="s">
        <v>389</v>
      </c>
      <c r="I373" s="76" t="s">
        <v>439</v>
      </c>
      <c r="J373" s="117" t="s">
        <v>2334</v>
      </c>
      <c r="K373" s="100" t="s">
        <v>2332</v>
      </c>
      <c r="L373" s="131">
        <v>499433226</v>
      </c>
      <c r="M373" s="109" t="s">
        <v>564</v>
      </c>
      <c r="N373" s="12" t="s">
        <v>2335</v>
      </c>
      <c r="O373" s="100" t="s">
        <v>1646</v>
      </c>
      <c r="P373" s="131" t="s">
        <v>2333</v>
      </c>
      <c r="Q373" s="84"/>
      <c r="R373" s="3"/>
      <c r="S373" s="2"/>
      <c r="T373" s="241"/>
      <c r="U373" s="170">
        <f>66326+22000+11935</f>
        <v>100261</v>
      </c>
      <c r="V373" s="48">
        <f t="shared" si="77"/>
        <v>87.107732406602949</v>
      </c>
      <c r="W373" s="171">
        <f t="shared" si="78"/>
        <v>13.03608258313654</v>
      </c>
      <c r="X373" s="69">
        <f>751026+142000</f>
        <v>893026</v>
      </c>
      <c r="Y373" s="48">
        <f t="shared" si="79"/>
        <v>775.8696785403996</v>
      </c>
      <c r="Z373" s="137">
        <f t="shared" si="80"/>
        <v>116.11255308532822</v>
      </c>
      <c r="AA373" s="69">
        <v>0</v>
      </c>
      <c r="AB373" s="48">
        <f t="shared" si="81"/>
        <v>0</v>
      </c>
      <c r="AC373" s="137">
        <f t="shared" si="82"/>
        <v>0</v>
      </c>
      <c r="AD373" s="70">
        <f t="shared" si="83"/>
        <v>993287</v>
      </c>
      <c r="AE373" s="71">
        <f t="shared" si="84"/>
        <v>862.97741094700257</v>
      </c>
      <c r="AF373" s="193">
        <f t="shared" si="85"/>
        <v>129.14863566846475</v>
      </c>
      <c r="AG373" s="185">
        <f t="shared" si="86"/>
        <v>2.2998610757368775E-3</v>
      </c>
      <c r="AH373" s="180">
        <f t="shared" si="91"/>
        <v>7.5650190403655747E-3</v>
      </c>
      <c r="AI373" s="189">
        <v>1151</v>
      </c>
      <c r="AJ373" s="126">
        <v>7691.0375000000004</v>
      </c>
      <c r="AK373" s="150">
        <v>726</v>
      </c>
      <c r="AL373" s="221">
        <v>252</v>
      </c>
      <c r="AM373" s="216">
        <v>28.756957328385901</v>
      </c>
      <c r="AN373" s="213">
        <v>45.72072072072072</v>
      </c>
      <c r="AO373" s="128">
        <v>86.378</v>
      </c>
      <c r="AP373" s="134">
        <v>26.26</v>
      </c>
      <c r="AQ373" s="224">
        <f t="shared" si="87"/>
        <v>0.94344262295081971</v>
      </c>
      <c r="AR373" s="158">
        <v>1220</v>
      </c>
      <c r="AS373" s="229">
        <f t="shared" si="88"/>
        <v>0.42629629629629628</v>
      </c>
      <c r="AT373" s="230">
        <v>2700</v>
      </c>
      <c r="AU373" s="203">
        <v>13.292788879235449</v>
      </c>
      <c r="AV373" s="204">
        <v>69.331016507384888</v>
      </c>
      <c r="AW373" s="205">
        <v>17.376194613379671</v>
      </c>
      <c r="AX373" s="123">
        <v>2.9197000000000002</v>
      </c>
      <c r="AY373" s="281">
        <v>1.2658227848101267</v>
      </c>
      <c r="AZ373" s="282">
        <v>5.1898734177215191</v>
      </c>
      <c r="BA373" s="283">
        <f t="shared" si="89"/>
        <v>93.544303797468359</v>
      </c>
      <c r="BB373" s="234">
        <v>9.3577981651376145</v>
      </c>
      <c r="BC373" s="19">
        <v>1994</v>
      </c>
      <c r="BD373" s="263" t="s">
        <v>556</v>
      </c>
      <c r="BE373" s="261" t="s">
        <v>556</v>
      </c>
      <c r="BF373" s="259" t="s">
        <v>556</v>
      </c>
      <c r="BG373" s="256">
        <v>87.166236003445306</v>
      </c>
      <c r="BH373" s="248" t="s">
        <v>556</v>
      </c>
      <c r="BI373" s="249">
        <v>64.180672268907571</v>
      </c>
      <c r="BJ373" s="308" t="s">
        <v>556</v>
      </c>
      <c r="BK373" s="307" t="s">
        <v>556</v>
      </c>
      <c r="BL373" s="319" t="s">
        <v>1728</v>
      </c>
      <c r="BM373" s="320" t="s">
        <v>556</v>
      </c>
      <c r="BN373" s="321" t="s">
        <v>2336</v>
      </c>
      <c r="BO373" s="21" t="s">
        <v>556</v>
      </c>
      <c r="BP373" s="10" t="s">
        <v>556</v>
      </c>
      <c r="BQ373" s="10" t="s">
        <v>557</v>
      </c>
      <c r="BR373" s="80"/>
    </row>
    <row r="374" spans="1:70" s="72" customFormat="1" ht="13.95" customHeight="1" x14ac:dyDescent="0.3">
      <c r="A374" s="56" t="s">
        <v>459</v>
      </c>
      <c r="B374" s="57" t="s">
        <v>462</v>
      </c>
      <c r="C374" s="55" t="s">
        <v>101</v>
      </c>
      <c r="D374" s="58">
        <v>1</v>
      </c>
      <c r="E374" s="59"/>
      <c r="F374" s="60" t="s">
        <v>452</v>
      </c>
      <c r="G374" s="61" t="s">
        <v>11</v>
      </c>
      <c r="H374" s="61" t="s">
        <v>11</v>
      </c>
      <c r="I374" s="62" t="s">
        <v>11</v>
      </c>
      <c r="J374" s="63" t="s">
        <v>2337</v>
      </c>
      <c r="K374" s="99" t="s">
        <v>976</v>
      </c>
      <c r="L374" s="130">
        <v>495585187</v>
      </c>
      <c r="M374" s="109" t="s">
        <v>537</v>
      </c>
      <c r="N374" s="12" t="s">
        <v>975</v>
      </c>
      <c r="O374" s="100"/>
      <c r="P374" s="131">
        <v>725081332</v>
      </c>
      <c r="Q374" s="67"/>
      <c r="R374" s="68"/>
      <c r="S374" s="99"/>
      <c r="T374" s="65"/>
      <c r="U374" s="170">
        <v>388445</v>
      </c>
      <c r="V374" s="48">
        <f t="shared" si="77"/>
        <v>1076.0249307479223</v>
      </c>
      <c r="W374" s="171">
        <f t="shared" si="78"/>
        <v>1177.4068345337914</v>
      </c>
      <c r="X374" s="69">
        <v>0</v>
      </c>
      <c r="Y374" s="48">
        <f t="shared" si="79"/>
        <v>0</v>
      </c>
      <c r="Z374" s="137">
        <f t="shared" si="80"/>
        <v>0</v>
      </c>
      <c r="AA374" s="69">
        <v>0</v>
      </c>
      <c r="AB374" s="48">
        <f t="shared" si="81"/>
        <v>0</v>
      </c>
      <c r="AC374" s="137">
        <f t="shared" si="82"/>
        <v>0</v>
      </c>
      <c r="AD374" s="70">
        <f t="shared" si="83"/>
        <v>388445</v>
      </c>
      <c r="AE374" s="71">
        <f t="shared" si="84"/>
        <v>1076.0249307479223</v>
      </c>
      <c r="AF374" s="193">
        <f t="shared" si="85"/>
        <v>1177.4068345337914</v>
      </c>
      <c r="AG374" s="185">
        <f t="shared" si="86"/>
        <v>2.5174659753726507E-2</v>
      </c>
      <c r="AH374" s="180">
        <f t="shared" si="91"/>
        <v>0.99601282051282047</v>
      </c>
      <c r="AI374" s="189">
        <v>361</v>
      </c>
      <c r="AJ374" s="125">
        <v>329.91570000000002</v>
      </c>
      <c r="AK374" s="149">
        <v>135</v>
      </c>
      <c r="AL374" s="221">
        <v>105</v>
      </c>
      <c r="AM374" s="216">
        <v>99.236641221374043</v>
      </c>
      <c r="AN374" s="213">
        <v>7.6433121019108281</v>
      </c>
      <c r="AO374" s="127">
        <v>3.0859999999999999</v>
      </c>
      <c r="AP374" s="133">
        <v>7.8E-2</v>
      </c>
      <c r="AQ374" s="224">
        <f t="shared" si="87"/>
        <v>1.1570512820512822</v>
      </c>
      <c r="AR374" s="158">
        <v>312</v>
      </c>
      <c r="AS374" s="229">
        <f t="shared" si="88"/>
        <v>0.71485148514851482</v>
      </c>
      <c r="AT374" s="230">
        <v>505</v>
      </c>
      <c r="AU374" s="203">
        <v>13.573407202216067</v>
      </c>
      <c r="AV374" s="204">
        <v>65.650969529085884</v>
      </c>
      <c r="AW374" s="205">
        <v>20.775623268698059</v>
      </c>
      <c r="AX374" s="123">
        <v>6.1727999999999996</v>
      </c>
      <c r="AY374" s="281">
        <v>12.727272727272727</v>
      </c>
      <c r="AZ374" s="282">
        <v>23.636363636363637</v>
      </c>
      <c r="BA374" s="283">
        <f t="shared" si="89"/>
        <v>63.63636363636364</v>
      </c>
      <c r="BB374" s="234">
        <v>87.5</v>
      </c>
      <c r="BC374" s="20">
        <v>2011</v>
      </c>
      <c r="BD374" s="263" t="s">
        <v>556</v>
      </c>
      <c r="BE374" s="261" t="s">
        <v>556</v>
      </c>
      <c r="BF374" s="260" t="s">
        <v>557</v>
      </c>
      <c r="BG374" s="256">
        <v>25.519287833827892</v>
      </c>
      <c r="BH374" s="248" t="s">
        <v>556</v>
      </c>
      <c r="BI374" s="249">
        <v>85.576923076923066</v>
      </c>
      <c r="BJ374" s="308" t="s">
        <v>556</v>
      </c>
      <c r="BK374" s="307" t="s">
        <v>557</v>
      </c>
      <c r="BL374" s="319" t="s">
        <v>1728</v>
      </c>
      <c r="BM374" s="320" t="s">
        <v>556</v>
      </c>
      <c r="BN374" s="321" t="s">
        <v>1957</v>
      </c>
      <c r="BO374" s="145" t="s">
        <v>557</v>
      </c>
      <c r="BP374" s="14" t="s">
        <v>557</v>
      </c>
      <c r="BQ374" s="14" t="s">
        <v>557</v>
      </c>
      <c r="BR374" s="56"/>
    </row>
    <row r="375" spans="1:70" s="56" customFormat="1" ht="13.95" customHeight="1" x14ac:dyDescent="0.3">
      <c r="A375" s="3" t="s">
        <v>461</v>
      </c>
      <c r="B375" s="77" t="s">
        <v>464</v>
      </c>
      <c r="C375" s="74" t="s">
        <v>224</v>
      </c>
      <c r="D375" s="58">
        <v>10</v>
      </c>
      <c r="E375" s="59" t="s">
        <v>765</v>
      </c>
      <c r="F375" s="60" t="s">
        <v>454</v>
      </c>
      <c r="G375" s="75" t="s">
        <v>223</v>
      </c>
      <c r="H375" s="75" t="s">
        <v>1226</v>
      </c>
      <c r="I375" s="76" t="s">
        <v>1226</v>
      </c>
      <c r="J375" s="117" t="s">
        <v>2340</v>
      </c>
      <c r="K375" s="100" t="s">
        <v>2338</v>
      </c>
      <c r="L375" s="131">
        <v>491581201</v>
      </c>
      <c r="M375" s="109" t="s">
        <v>564</v>
      </c>
      <c r="N375" s="12" t="s">
        <v>1365</v>
      </c>
      <c r="O375" s="100" t="s">
        <v>1366</v>
      </c>
      <c r="P375" s="131" t="s">
        <v>2339</v>
      </c>
      <c r="Q375" s="67"/>
      <c r="R375" s="12"/>
      <c r="S375" s="100"/>
      <c r="T375" s="66"/>
      <c r="U375" s="170">
        <f>86000+60000+45000</f>
        <v>191000</v>
      </c>
      <c r="V375" s="48">
        <f t="shared" si="77"/>
        <v>112.61792452830188</v>
      </c>
      <c r="W375" s="171">
        <f t="shared" si="78"/>
        <v>34.082880715056696</v>
      </c>
      <c r="X375" s="69">
        <v>265638</v>
      </c>
      <c r="Y375" s="48">
        <f t="shared" si="79"/>
        <v>156.62617924528303</v>
      </c>
      <c r="Z375" s="137">
        <f t="shared" si="80"/>
        <v>47.401613965372938</v>
      </c>
      <c r="AA375" s="69">
        <v>0</v>
      </c>
      <c r="AB375" s="48">
        <f t="shared" si="81"/>
        <v>0</v>
      </c>
      <c r="AC375" s="137">
        <f t="shared" si="82"/>
        <v>0</v>
      </c>
      <c r="AD375" s="70">
        <f t="shared" si="83"/>
        <v>456638</v>
      </c>
      <c r="AE375" s="71">
        <f t="shared" si="84"/>
        <v>269.24410377358492</v>
      </c>
      <c r="AF375" s="193">
        <f t="shared" si="85"/>
        <v>81.484494680429634</v>
      </c>
      <c r="AG375" s="185">
        <f t="shared" si="86"/>
        <v>2.6794073639430835E-3</v>
      </c>
      <c r="AH375" s="180">
        <f t="shared" si="91"/>
        <v>1.8951566715086118E-2</v>
      </c>
      <c r="AI375" s="189">
        <v>1696</v>
      </c>
      <c r="AJ375" s="126">
        <v>5603.9863999999998</v>
      </c>
      <c r="AK375" s="150">
        <v>798</v>
      </c>
      <c r="AL375" s="221">
        <v>428</v>
      </c>
      <c r="AM375" s="216">
        <v>60.385144429160931</v>
      </c>
      <c r="AN375" s="213">
        <v>19.216061185468451</v>
      </c>
      <c r="AO375" s="128">
        <v>34.085000000000001</v>
      </c>
      <c r="AP375" s="134">
        <v>4.819</v>
      </c>
      <c r="AQ375" s="224">
        <f t="shared" si="87"/>
        <v>0.88982161594963272</v>
      </c>
      <c r="AR375" s="158">
        <v>1906</v>
      </c>
      <c r="AS375" s="229">
        <f t="shared" si="88"/>
        <v>0.32577794852093739</v>
      </c>
      <c r="AT375" s="230">
        <v>5206</v>
      </c>
      <c r="AU375" s="203">
        <v>15.742924528301888</v>
      </c>
      <c r="AV375" s="204">
        <v>62.971698113207552</v>
      </c>
      <c r="AW375" s="205">
        <v>21.285377358490564</v>
      </c>
      <c r="AX375" s="123">
        <v>8.9565999999999999</v>
      </c>
      <c r="AY375" s="281">
        <v>4.1237113402061851</v>
      </c>
      <c r="AZ375" s="282">
        <v>40.058910162002945</v>
      </c>
      <c r="BA375" s="283">
        <f t="shared" si="89"/>
        <v>55.81737849779087</v>
      </c>
      <c r="BB375" s="234">
        <v>56.727272727272727</v>
      </c>
      <c r="BC375" s="19">
        <v>2012</v>
      </c>
      <c r="BD375" s="263" t="s">
        <v>556</v>
      </c>
      <c r="BE375" s="261" t="s">
        <v>556</v>
      </c>
      <c r="BF375" s="259" t="s">
        <v>556</v>
      </c>
      <c r="BG375" s="256">
        <v>49.81203007518797</v>
      </c>
      <c r="BH375" s="248" t="s">
        <v>556</v>
      </c>
      <c r="BI375" s="249">
        <v>20.109814687714479</v>
      </c>
      <c r="BJ375" s="308" t="s">
        <v>556</v>
      </c>
      <c r="BK375" s="307" t="s">
        <v>556</v>
      </c>
      <c r="BL375" s="319" t="s">
        <v>1728</v>
      </c>
      <c r="BM375" s="320" t="s">
        <v>556</v>
      </c>
      <c r="BN375" s="321" t="s">
        <v>2341</v>
      </c>
      <c r="BO375" s="21" t="s">
        <v>556</v>
      </c>
      <c r="BP375" s="10">
        <v>3</v>
      </c>
      <c r="BQ375" s="10" t="s">
        <v>556</v>
      </c>
      <c r="BR375" s="3"/>
    </row>
    <row r="376" spans="1:70" s="72" customFormat="1" ht="13.95" customHeight="1" x14ac:dyDescent="0.3">
      <c r="A376" s="56" t="s">
        <v>459</v>
      </c>
      <c r="B376" s="57" t="s">
        <v>462</v>
      </c>
      <c r="C376" s="55" t="s">
        <v>199</v>
      </c>
      <c r="D376" s="58">
        <v>2</v>
      </c>
      <c r="E376" s="59" t="s">
        <v>621</v>
      </c>
      <c r="F376" s="60" t="s">
        <v>453</v>
      </c>
      <c r="G376" s="61" t="s">
        <v>117</v>
      </c>
      <c r="H376" s="61" t="s">
        <v>117</v>
      </c>
      <c r="I376" s="62" t="s">
        <v>122</v>
      </c>
      <c r="J376" s="63" t="s">
        <v>2342</v>
      </c>
      <c r="K376" s="99" t="s">
        <v>1177</v>
      </c>
      <c r="L376" s="130">
        <v>493792726</v>
      </c>
      <c r="M376" s="109" t="s">
        <v>564</v>
      </c>
      <c r="N376" s="12" t="s">
        <v>1176</v>
      </c>
      <c r="O376" s="100"/>
      <c r="P376" s="131">
        <v>724181096</v>
      </c>
      <c r="Q376" s="67"/>
      <c r="R376" s="68"/>
      <c r="S376" s="99"/>
      <c r="T376" s="65"/>
      <c r="U376" s="170">
        <v>162000</v>
      </c>
      <c r="V376" s="48">
        <f t="shared" si="77"/>
        <v>1080</v>
      </c>
      <c r="W376" s="171">
        <f t="shared" si="78"/>
        <v>577.34107350514103</v>
      </c>
      <c r="X376" s="69">
        <v>43000</v>
      </c>
      <c r="Y376" s="48">
        <f t="shared" si="79"/>
        <v>286.66666666666669</v>
      </c>
      <c r="Z376" s="137">
        <f t="shared" si="80"/>
        <v>153.24485284395718</v>
      </c>
      <c r="AA376" s="69">
        <v>0</v>
      </c>
      <c r="AB376" s="48">
        <f t="shared" si="81"/>
        <v>0</v>
      </c>
      <c r="AC376" s="137">
        <f t="shared" si="82"/>
        <v>0</v>
      </c>
      <c r="AD376" s="70">
        <f t="shared" si="83"/>
        <v>205000</v>
      </c>
      <c r="AE376" s="71">
        <f t="shared" si="84"/>
        <v>1366.6666666666667</v>
      </c>
      <c r="AF376" s="193">
        <f t="shared" si="85"/>
        <v>730.58592634909814</v>
      </c>
      <c r="AG376" s="185">
        <f t="shared" si="86"/>
        <v>5.000000000000001E-2</v>
      </c>
      <c r="AH376" s="180">
        <f t="shared" si="91"/>
        <v>0.38317757009345793</v>
      </c>
      <c r="AI376" s="189">
        <v>150</v>
      </c>
      <c r="AJ376" s="125">
        <v>280.5967</v>
      </c>
      <c r="AK376" s="149">
        <v>86</v>
      </c>
      <c r="AL376" s="221">
        <v>44</v>
      </c>
      <c r="AM376" s="216">
        <v>98.148148148148152</v>
      </c>
      <c r="AN376" s="213">
        <v>1.1111111111111112</v>
      </c>
      <c r="AO376" s="127">
        <v>0.82</v>
      </c>
      <c r="AP376" s="133">
        <v>0.107</v>
      </c>
      <c r="AQ376" s="224">
        <f t="shared" si="87"/>
        <v>1.1029411764705883</v>
      </c>
      <c r="AR376" s="158">
        <v>136</v>
      </c>
      <c r="AS376" s="229">
        <f t="shared" si="88"/>
        <v>0.4143646408839779</v>
      </c>
      <c r="AT376" s="230">
        <v>362</v>
      </c>
      <c r="AU376" s="203">
        <v>14.666666666666666</v>
      </c>
      <c r="AV376" s="204">
        <v>66.666666666666657</v>
      </c>
      <c r="AW376" s="205">
        <v>18.666666666666668</v>
      </c>
      <c r="AX376" s="123">
        <v>2.1053000000000002</v>
      </c>
      <c r="AY376" s="281">
        <v>10.16949152542373</v>
      </c>
      <c r="AZ376" s="282">
        <v>38.983050847457626</v>
      </c>
      <c r="BA376" s="283">
        <f t="shared" si="89"/>
        <v>50.847457627118651</v>
      </c>
      <c r="BB376" s="234">
        <v>69.565217391304344</v>
      </c>
      <c r="BC376" s="20">
        <v>2006</v>
      </c>
      <c r="BD376" s="264" t="s">
        <v>557</v>
      </c>
      <c r="BE376" s="261" t="s">
        <v>556</v>
      </c>
      <c r="BF376" s="260" t="s">
        <v>557</v>
      </c>
      <c r="BG376" s="256">
        <v>31.386861313868614</v>
      </c>
      <c r="BH376" s="254" t="s">
        <v>557</v>
      </c>
      <c r="BI376" s="249">
        <v>0</v>
      </c>
      <c r="BJ376" s="309" t="s">
        <v>557</v>
      </c>
      <c r="BK376" s="307" t="s">
        <v>557</v>
      </c>
      <c r="BL376" s="319" t="s">
        <v>1728</v>
      </c>
      <c r="BM376" s="320" t="s">
        <v>556</v>
      </c>
      <c r="BN376" s="321" t="s">
        <v>1767</v>
      </c>
      <c r="BO376" s="145" t="s">
        <v>557</v>
      </c>
      <c r="BP376" s="14" t="s">
        <v>557</v>
      </c>
      <c r="BQ376" s="14" t="s">
        <v>557</v>
      </c>
      <c r="BR376" s="56"/>
    </row>
    <row r="377" spans="1:70" s="56" customFormat="1" ht="13.95" customHeight="1" x14ac:dyDescent="0.3">
      <c r="A377" s="56" t="s">
        <v>459</v>
      </c>
      <c r="B377" s="57" t="s">
        <v>462</v>
      </c>
      <c r="C377" s="55" t="s">
        <v>368</v>
      </c>
      <c r="D377" s="58">
        <v>4</v>
      </c>
      <c r="E377" s="59" t="s">
        <v>712</v>
      </c>
      <c r="F377" s="60" t="s">
        <v>455</v>
      </c>
      <c r="G377" s="61" t="s">
        <v>304</v>
      </c>
      <c r="H377" s="61" t="s">
        <v>38</v>
      </c>
      <c r="I377" s="62" t="s">
        <v>38</v>
      </c>
      <c r="J377" s="63" t="s">
        <v>2343</v>
      </c>
      <c r="K377" s="99" t="s">
        <v>1515</v>
      </c>
      <c r="L377" s="130">
        <v>494662138</v>
      </c>
      <c r="M377" s="109" t="s">
        <v>537</v>
      </c>
      <c r="N377" s="12" t="s">
        <v>1514</v>
      </c>
      <c r="O377" s="100"/>
      <c r="P377" s="131">
        <v>739051680</v>
      </c>
      <c r="Q377" s="84"/>
      <c r="S377" s="105"/>
      <c r="T377" s="112"/>
      <c r="U377" s="170">
        <f>570000+400000</f>
        <v>970000</v>
      </c>
      <c r="V377" s="48">
        <f t="shared" si="77"/>
        <v>1321.525885558583</v>
      </c>
      <c r="W377" s="171">
        <f t="shared" si="78"/>
        <v>655.687173677337</v>
      </c>
      <c r="X377" s="69">
        <v>128430</v>
      </c>
      <c r="Y377" s="48">
        <f t="shared" si="79"/>
        <v>174.97275204359673</v>
      </c>
      <c r="Z377" s="137">
        <f t="shared" si="80"/>
        <v>86.814333727196285</v>
      </c>
      <c r="AA377" s="69">
        <v>0</v>
      </c>
      <c r="AB377" s="48">
        <f t="shared" si="81"/>
        <v>0</v>
      </c>
      <c r="AC377" s="137">
        <f t="shared" si="82"/>
        <v>0</v>
      </c>
      <c r="AD377" s="70">
        <f t="shared" si="83"/>
        <v>1098430</v>
      </c>
      <c r="AE377" s="71">
        <f t="shared" si="84"/>
        <v>1496.4986376021798</v>
      </c>
      <c r="AF377" s="193">
        <f t="shared" si="85"/>
        <v>742.5015074045333</v>
      </c>
      <c r="AG377" s="185">
        <f t="shared" si="86"/>
        <v>2.6316003833253471E-2</v>
      </c>
      <c r="AH377" s="180">
        <f t="shared" si="91"/>
        <v>6.2075727606668546E-2</v>
      </c>
      <c r="AI377" s="189">
        <v>734</v>
      </c>
      <c r="AJ377" s="125">
        <v>1479.364</v>
      </c>
      <c r="AK377" s="149">
        <v>308</v>
      </c>
      <c r="AL377" s="221">
        <v>196</v>
      </c>
      <c r="AM377" s="216">
        <v>91.760299625468164</v>
      </c>
      <c r="AN377" s="213">
        <v>10.724637681159422</v>
      </c>
      <c r="AO377" s="127">
        <v>8.3480000000000008</v>
      </c>
      <c r="AP377" s="133">
        <v>3.5390000000000001</v>
      </c>
      <c r="AQ377" s="224">
        <f t="shared" si="87"/>
        <v>1.0825958702064897</v>
      </c>
      <c r="AR377" s="158">
        <v>678</v>
      </c>
      <c r="AS377" s="229">
        <f t="shared" si="88"/>
        <v>0.62414965986394555</v>
      </c>
      <c r="AT377" s="230">
        <v>1176</v>
      </c>
      <c r="AU377" s="203">
        <v>16.485013623978201</v>
      </c>
      <c r="AV377" s="204">
        <v>65.531335149863764</v>
      </c>
      <c r="AW377" s="205">
        <v>17.983651226158038</v>
      </c>
      <c r="AX377" s="123">
        <v>1.8672</v>
      </c>
      <c r="AY377" s="281">
        <v>15.929203539823009</v>
      </c>
      <c r="AZ377" s="282">
        <v>36.578171091445427</v>
      </c>
      <c r="BA377" s="283">
        <f t="shared" si="89"/>
        <v>47.492625368731566</v>
      </c>
      <c r="BB377" s="234">
        <v>81.707317073170742</v>
      </c>
      <c r="BC377" s="20">
        <v>2002</v>
      </c>
      <c r="BD377" s="263" t="s">
        <v>556</v>
      </c>
      <c r="BE377" s="261" t="s">
        <v>556</v>
      </c>
      <c r="BF377" s="260" t="s">
        <v>557</v>
      </c>
      <c r="BG377" s="256">
        <v>10.572687224669604</v>
      </c>
      <c r="BH377" s="248" t="s">
        <v>556</v>
      </c>
      <c r="BI377" s="249">
        <v>21.875</v>
      </c>
      <c r="BJ377" s="311" t="s">
        <v>2474</v>
      </c>
      <c r="BK377" s="307" t="s">
        <v>557</v>
      </c>
      <c r="BL377" s="319" t="s">
        <v>1728</v>
      </c>
      <c r="BM377" s="320" t="s">
        <v>556</v>
      </c>
      <c r="BN377" s="321" t="s">
        <v>1791</v>
      </c>
      <c r="BO377" s="145" t="s">
        <v>556</v>
      </c>
      <c r="BP377" s="14" t="s">
        <v>556</v>
      </c>
      <c r="BQ377" s="14" t="s">
        <v>557</v>
      </c>
    </row>
    <row r="378" spans="1:70" s="72" customFormat="1" ht="13.95" customHeight="1" x14ac:dyDescent="0.3">
      <c r="A378" s="56" t="s">
        <v>459</v>
      </c>
      <c r="B378" s="57" t="s">
        <v>462</v>
      </c>
      <c r="C378" s="55" t="s">
        <v>440</v>
      </c>
      <c r="D378" s="58">
        <v>1</v>
      </c>
      <c r="E378" s="59"/>
      <c r="F378" s="60" t="s">
        <v>456</v>
      </c>
      <c r="G378" s="61" t="s">
        <v>531</v>
      </c>
      <c r="H378" s="61" t="s">
        <v>531</v>
      </c>
      <c r="I378" s="62" t="s">
        <v>531</v>
      </c>
      <c r="J378" s="63" t="s">
        <v>2344</v>
      </c>
      <c r="K378" s="101" t="s">
        <v>1648</v>
      </c>
      <c r="L378" s="130">
        <v>499397322</v>
      </c>
      <c r="M378" s="109" t="s">
        <v>537</v>
      </c>
      <c r="N378" s="12" t="s">
        <v>1647</v>
      </c>
      <c r="O378" s="100"/>
      <c r="P378" s="131">
        <v>725081225</v>
      </c>
      <c r="Q378" s="82"/>
      <c r="S378" s="115"/>
      <c r="T378" s="112"/>
      <c r="U378" s="170">
        <v>0</v>
      </c>
      <c r="V378" s="48">
        <f t="shared" si="77"/>
        <v>0</v>
      </c>
      <c r="W378" s="171">
        <f t="shared" si="78"/>
        <v>0</v>
      </c>
      <c r="X378" s="69">
        <v>36000</v>
      </c>
      <c r="Y378" s="48">
        <f t="shared" si="79"/>
        <v>423.52941176470586</v>
      </c>
      <c r="Z378" s="137">
        <f t="shared" si="80"/>
        <v>227.35267388848226</v>
      </c>
      <c r="AA378" s="69">
        <v>0</v>
      </c>
      <c r="AB378" s="48">
        <f t="shared" si="81"/>
        <v>0</v>
      </c>
      <c r="AC378" s="137">
        <f t="shared" si="82"/>
        <v>0</v>
      </c>
      <c r="AD378" s="70">
        <f t="shared" si="83"/>
        <v>36000</v>
      </c>
      <c r="AE378" s="71">
        <f t="shared" si="84"/>
        <v>423.52941176470586</v>
      </c>
      <c r="AF378" s="193">
        <f t="shared" si="85"/>
        <v>227.35267388848226</v>
      </c>
      <c r="AG378" s="185">
        <f t="shared" si="86"/>
        <v>8.1911262798634813E-3</v>
      </c>
      <c r="AH378" s="180">
        <f t="shared" si="91"/>
        <v>0.27692307692307694</v>
      </c>
      <c r="AI378" s="189">
        <v>85</v>
      </c>
      <c r="AJ378" s="125">
        <v>158.3443</v>
      </c>
      <c r="AK378" s="149">
        <v>60</v>
      </c>
      <c r="AL378" s="221">
        <v>24</v>
      </c>
      <c r="AM378" s="216">
        <v>80.645161290322577</v>
      </c>
      <c r="AN378" s="213">
        <v>29.629629629629626</v>
      </c>
      <c r="AO378" s="127">
        <v>0.879</v>
      </c>
      <c r="AP378" s="133">
        <v>2.5999999999999999E-2</v>
      </c>
      <c r="AQ378" s="224">
        <f t="shared" si="87"/>
        <v>1</v>
      </c>
      <c r="AR378" s="158">
        <v>85</v>
      </c>
      <c r="AS378" s="229">
        <f t="shared" si="88"/>
        <v>0.42079207920792078</v>
      </c>
      <c r="AT378" s="230">
        <v>202</v>
      </c>
      <c r="AU378" s="203">
        <v>17.647058823529413</v>
      </c>
      <c r="AV378" s="204">
        <v>64.70588235294116</v>
      </c>
      <c r="AW378" s="205">
        <v>17.647058823529413</v>
      </c>
      <c r="AX378" s="123">
        <v>15.7895</v>
      </c>
      <c r="AY378" s="281">
        <v>3.3333333333333335</v>
      </c>
      <c r="AZ378" s="282">
        <v>53.333333333333336</v>
      </c>
      <c r="BA378" s="283">
        <f t="shared" si="89"/>
        <v>43.333333333333336</v>
      </c>
      <c r="BB378" s="234">
        <v>63.636363636363633</v>
      </c>
      <c r="BC378" s="20">
        <v>2016</v>
      </c>
      <c r="BD378" s="263" t="s">
        <v>556</v>
      </c>
      <c r="BE378" s="262" t="s">
        <v>557</v>
      </c>
      <c r="BF378" s="260" t="s">
        <v>557</v>
      </c>
      <c r="BG378" s="256">
        <v>0</v>
      </c>
      <c r="BH378" s="248" t="s">
        <v>556</v>
      </c>
      <c r="BI378" s="249">
        <v>32.075471698113205</v>
      </c>
      <c r="BJ378" s="309" t="s">
        <v>557</v>
      </c>
      <c r="BK378" s="307" t="s">
        <v>557</v>
      </c>
      <c r="BL378" s="319" t="s">
        <v>557</v>
      </c>
      <c r="BM378" s="320" t="s">
        <v>557</v>
      </c>
      <c r="BN378" s="321" t="s">
        <v>557</v>
      </c>
      <c r="BO378" s="145" t="s">
        <v>557</v>
      </c>
      <c r="BP378" s="14" t="s">
        <v>557</v>
      </c>
      <c r="BQ378" s="14" t="s">
        <v>557</v>
      </c>
      <c r="BR378" s="3"/>
    </row>
    <row r="379" spans="1:70" s="56" customFormat="1" ht="13.95" customHeight="1" x14ac:dyDescent="0.3">
      <c r="A379" s="3" t="s">
        <v>460</v>
      </c>
      <c r="B379" s="77" t="s">
        <v>464</v>
      </c>
      <c r="C379" s="74" t="s">
        <v>378</v>
      </c>
      <c r="D379" s="58">
        <v>21</v>
      </c>
      <c r="E379" s="59" t="s">
        <v>756</v>
      </c>
      <c r="F379" s="60" t="s">
        <v>456</v>
      </c>
      <c r="G379" s="75" t="s">
        <v>378</v>
      </c>
      <c r="H379" s="75" t="s">
        <v>378</v>
      </c>
      <c r="I379" s="76" t="s">
        <v>378</v>
      </c>
      <c r="J379" s="117" t="s">
        <v>2346</v>
      </c>
      <c r="K379" s="143" t="s">
        <v>2345</v>
      </c>
      <c r="L379" s="131">
        <v>499803111</v>
      </c>
      <c r="M379" s="109" t="s">
        <v>564</v>
      </c>
      <c r="N379" s="12" t="s">
        <v>1649</v>
      </c>
      <c r="O379" s="100" t="s">
        <v>1650</v>
      </c>
      <c r="P379" s="131">
        <v>499803361</v>
      </c>
      <c r="Q379" s="84"/>
      <c r="R379" s="3"/>
      <c r="S379" s="2"/>
      <c r="T379" s="241"/>
      <c r="U379" s="172">
        <v>0</v>
      </c>
      <c r="V379" s="135">
        <f t="shared" si="77"/>
        <v>0</v>
      </c>
      <c r="W379" s="173">
        <f t="shared" si="78"/>
        <v>0</v>
      </c>
      <c r="X379" s="69">
        <f>1312055+53000+6600+51000</f>
        <v>1422655</v>
      </c>
      <c r="Y379" s="48">
        <f t="shared" si="79"/>
        <v>46.172108269505387</v>
      </c>
      <c r="Z379" s="137">
        <f t="shared" si="80"/>
        <v>137.68054642798845</v>
      </c>
      <c r="AA379" s="69">
        <v>0</v>
      </c>
      <c r="AB379" s="48">
        <f t="shared" si="81"/>
        <v>0</v>
      </c>
      <c r="AC379" s="137">
        <f t="shared" si="82"/>
        <v>0</v>
      </c>
      <c r="AD379" s="70">
        <f t="shared" si="83"/>
        <v>1422655</v>
      </c>
      <c r="AE379" s="71">
        <f t="shared" si="84"/>
        <v>46.172108269505387</v>
      </c>
      <c r="AF379" s="193">
        <f t="shared" si="85"/>
        <v>137.68054642798845</v>
      </c>
      <c r="AG379" s="185">
        <f t="shared" si="86"/>
        <v>5.9306945139236283E-4</v>
      </c>
      <c r="AH379" s="180">
        <f t="shared" si="91"/>
        <v>5.3058404505277289E-3</v>
      </c>
      <c r="AI379" s="189">
        <v>30812</v>
      </c>
      <c r="AJ379" s="126">
        <v>10333.0139</v>
      </c>
      <c r="AK379" s="150">
        <v>4640</v>
      </c>
      <c r="AL379" s="221">
        <v>3574</v>
      </c>
      <c r="AM379" s="216">
        <v>23.905616906331932</v>
      </c>
      <c r="AN379" s="213">
        <v>0.98074827460951686</v>
      </c>
      <c r="AO379" s="128">
        <v>479.76</v>
      </c>
      <c r="AP379" s="134">
        <v>53.625999999999998</v>
      </c>
      <c r="AQ379" s="224">
        <f t="shared" si="87"/>
        <v>0.96290509078408704</v>
      </c>
      <c r="AR379" s="158">
        <v>31999</v>
      </c>
      <c r="AS379" s="229">
        <f t="shared" si="88"/>
        <v>1.0876486992128207</v>
      </c>
      <c r="AT379" s="230">
        <v>28329</v>
      </c>
      <c r="AU379" s="203">
        <v>15.068804361936907</v>
      </c>
      <c r="AV379" s="204">
        <v>66.143061145008431</v>
      </c>
      <c r="AW379" s="205">
        <v>18.788134493054653</v>
      </c>
      <c r="AX379" s="123">
        <v>5.9589999999999996</v>
      </c>
      <c r="AY379" s="281">
        <v>1.1132004512974802</v>
      </c>
      <c r="AZ379" s="282">
        <v>36.261752538548322</v>
      </c>
      <c r="BA379" s="283">
        <f t="shared" si="89"/>
        <v>62.625047010154205</v>
      </c>
      <c r="BB379" s="234">
        <v>33.43992690726359</v>
      </c>
      <c r="BC379" s="19">
        <v>1998</v>
      </c>
      <c r="BD379" s="263" t="s">
        <v>556</v>
      </c>
      <c r="BE379" s="261" t="s">
        <v>556</v>
      </c>
      <c r="BF379" s="259" t="s">
        <v>556</v>
      </c>
      <c r="BG379" s="256">
        <v>86.417275973473892</v>
      </c>
      <c r="BH379" s="248" t="s">
        <v>556</v>
      </c>
      <c r="BI379" s="249">
        <v>63.953658358307145</v>
      </c>
      <c r="BJ379" s="311" t="s">
        <v>1716</v>
      </c>
      <c r="BK379" s="307" t="s">
        <v>556</v>
      </c>
      <c r="BL379" s="319" t="s">
        <v>1777</v>
      </c>
      <c r="BM379" s="320" t="s">
        <v>556</v>
      </c>
      <c r="BN379" s="321" t="s">
        <v>2347</v>
      </c>
      <c r="BO379" s="21" t="s">
        <v>556</v>
      </c>
      <c r="BP379" s="10">
        <v>5</v>
      </c>
      <c r="BQ379" s="10" t="s">
        <v>556</v>
      </c>
      <c r="BR379" s="3"/>
    </row>
    <row r="380" spans="1:70" s="56" customFormat="1" ht="13.95" customHeight="1" x14ac:dyDescent="0.3">
      <c r="A380" s="56" t="s">
        <v>461</v>
      </c>
      <c r="B380" s="77" t="s">
        <v>464</v>
      </c>
      <c r="C380" s="74" t="s">
        <v>102</v>
      </c>
      <c r="D380" s="58">
        <v>5</v>
      </c>
      <c r="E380" s="59" t="s">
        <v>1689</v>
      </c>
      <c r="F380" s="60" t="s">
        <v>452</v>
      </c>
      <c r="G380" s="75" t="s">
        <v>11</v>
      </c>
      <c r="H380" s="75" t="s">
        <v>525</v>
      </c>
      <c r="I380" s="76" t="s">
        <v>525</v>
      </c>
      <c r="J380" s="63" t="s">
        <v>2350</v>
      </c>
      <c r="K380" s="99" t="s">
        <v>2348</v>
      </c>
      <c r="L380" s="130">
        <v>495592065</v>
      </c>
      <c r="M380" s="109" t="s">
        <v>564</v>
      </c>
      <c r="N380" s="12" t="s">
        <v>978</v>
      </c>
      <c r="O380" s="100" t="s">
        <v>977</v>
      </c>
      <c r="P380" s="131" t="s">
        <v>2349</v>
      </c>
      <c r="Q380" s="67"/>
      <c r="R380" s="68"/>
      <c r="S380" s="99"/>
      <c r="T380" s="65"/>
      <c r="U380" s="172">
        <v>0</v>
      </c>
      <c r="V380" s="135">
        <f t="shared" si="77"/>
        <v>0</v>
      </c>
      <c r="W380" s="173">
        <f t="shared" si="78"/>
        <v>0</v>
      </c>
      <c r="X380" s="69">
        <v>1731280</v>
      </c>
      <c r="Y380" s="48">
        <f t="shared" si="79"/>
        <v>299.84066505022514</v>
      </c>
      <c r="Z380" s="137">
        <f t="shared" si="80"/>
        <v>824.12871884466608</v>
      </c>
      <c r="AA380" s="69">
        <v>88330</v>
      </c>
      <c r="AB380" s="48">
        <f t="shared" si="81"/>
        <v>15.297887080013854</v>
      </c>
      <c r="AC380" s="137">
        <f t="shared" si="82"/>
        <v>42.047092172005314</v>
      </c>
      <c r="AD380" s="70">
        <f t="shared" si="83"/>
        <v>1819610</v>
      </c>
      <c r="AE380" s="71">
        <f t="shared" si="84"/>
        <v>315.13855213023902</v>
      </c>
      <c r="AF380" s="193">
        <f t="shared" si="85"/>
        <v>866.17581101667145</v>
      </c>
      <c r="AG380" s="185">
        <f t="shared" si="86"/>
        <v>4.3033571014698411E-3</v>
      </c>
      <c r="AH380" s="180">
        <f t="shared" si="91"/>
        <v>1.1563725334434876E-2</v>
      </c>
      <c r="AI380" s="189">
        <v>5774</v>
      </c>
      <c r="AJ380" s="126">
        <v>2100.7397999999998</v>
      </c>
      <c r="AK380" s="150">
        <v>2069</v>
      </c>
      <c r="AL380" s="221">
        <v>1369</v>
      </c>
      <c r="AM380" s="216">
        <v>71.224086870681148</v>
      </c>
      <c r="AN380" s="213">
        <v>2.3849372384937237</v>
      </c>
      <c r="AO380" s="128">
        <v>84.566999999999993</v>
      </c>
      <c r="AP380" s="134">
        <v>31.471</v>
      </c>
      <c r="AQ380" s="224">
        <f t="shared" si="87"/>
        <v>1.0991814201408718</v>
      </c>
      <c r="AR380" s="158">
        <v>5253</v>
      </c>
      <c r="AS380" s="229">
        <f t="shared" si="88"/>
        <v>1.0505822416302766</v>
      </c>
      <c r="AT380" s="230">
        <v>5496</v>
      </c>
      <c r="AU380" s="203">
        <v>16.712850710079667</v>
      </c>
      <c r="AV380" s="204">
        <v>65.015587114651893</v>
      </c>
      <c r="AW380" s="205">
        <v>18.271562175268443</v>
      </c>
      <c r="AX380" s="123">
        <v>6.4055</v>
      </c>
      <c r="AY380" s="281">
        <v>1.2160518848804214</v>
      </c>
      <c r="AZ380" s="282">
        <v>35.224969598702877</v>
      </c>
      <c r="BA380" s="283">
        <f t="shared" si="89"/>
        <v>63.558978516416708</v>
      </c>
      <c r="BB380" s="234">
        <v>70.822731128074651</v>
      </c>
      <c r="BC380" s="20">
        <v>2009</v>
      </c>
      <c r="BD380" s="263" t="s">
        <v>556</v>
      </c>
      <c r="BE380" s="261" t="s">
        <v>556</v>
      </c>
      <c r="BF380" s="259" t="s">
        <v>556</v>
      </c>
      <c r="BG380" s="256">
        <v>77.201601164483264</v>
      </c>
      <c r="BH380" s="248" t="s">
        <v>556</v>
      </c>
      <c r="BI380" s="249">
        <v>84.674981103552525</v>
      </c>
      <c r="BJ380" s="311" t="s">
        <v>1720</v>
      </c>
      <c r="BK380" s="307" t="s">
        <v>556</v>
      </c>
      <c r="BL380" s="319" t="s">
        <v>1728</v>
      </c>
      <c r="BM380" s="320" t="s">
        <v>556</v>
      </c>
      <c r="BN380" s="321" t="s">
        <v>2351</v>
      </c>
      <c r="BO380" s="145" t="s">
        <v>556</v>
      </c>
      <c r="BP380" s="14">
        <v>3</v>
      </c>
      <c r="BQ380" s="14" t="s">
        <v>556</v>
      </c>
      <c r="BR380" s="72"/>
    </row>
    <row r="381" spans="1:70" s="72" customFormat="1" ht="13.95" customHeight="1" x14ac:dyDescent="0.3">
      <c r="A381" s="3" t="s">
        <v>459</v>
      </c>
      <c r="B381" s="57" t="s">
        <v>462</v>
      </c>
      <c r="C381" s="55" t="s">
        <v>369</v>
      </c>
      <c r="D381" s="58">
        <v>1</v>
      </c>
      <c r="E381" s="59"/>
      <c r="F381" s="60" t="s">
        <v>455</v>
      </c>
      <c r="G381" s="61" t="s">
        <v>528</v>
      </c>
      <c r="H381" s="61" t="s">
        <v>528</v>
      </c>
      <c r="I381" s="62" t="s">
        <v>528</v>
      </c>
      <c r="J381" s="117" t="s">
        <v>2353</v>
      </c>
      <c r="K381" s="100" t="s">
        <v>1517</v>
      </c>
      <c r="L381" s="131">
        <v>494384159</v>
      </c>
      <c r="M381" s="109" t="s">
        <v>564</v>
      </c>
      <c r="N381" s="12" t="s">
        <v>1516</v>
      </c>
      <c r="O381" s="100"/>
      <c r="P381" s="131" t="s">
        <v>2352</v>
      </c>
      <c r="Q381" s="84"/>
      <c r="R381" s="3"/>
      <c r="S381" s="2"/>
      <c r="T381" s="241"/>
      <c r="U381" s="170">
        <f>410000+600000</f>
        <v>1010000</v>
      </c>
      <c r="V381" s="48">
        <f t="shared" si="77"/>
        <v>3782.7715355805244</v>
      </c>
      <c r="W381" s="171">
        <f t="shared" si="78"/>
        <v>3225.3902722229391</v>
      </c>
      <c r="X381" s="69">
        <v>4000</v>
      </c>
      <c r="Y381" s="48">
        <f t="shared" si="79"/>
        <v>14.9812734082397</v>
      </c>
      <c r="Z381" s="137">
        <f t="shared" si="80"/>
        <v>12.773822860288867</v>
      </c>
      <c r="AA381" s="69">
        <v>0</v>
      </c>
      <c r="AB381" s="48">
        <f t="shared" si="81"/>
        <v>0</v>
      </c>
      <c r="AC381" s="137">
        <f t="shared" si="82"/>
        <v>0</v>
      </c>
      <c r="AD381" s="70">
        <f t="shared" si="83"/>
        <v>1014000</v>
      </c>
      <c r="AE381" s="71">
        <f t="shared" si="84"/>
        <v>3797.7528089887642</v>
      </c>
      <c r="AF381" s="193">
        <f t="shared" si="85"/>
        <v>3238.1640950832279</v>
      </c>
      <c r="AG381" s="185">
        <f t="shared" si="86"/>
        <v>6.7263681592039798E-2</v>
      </c>
      <c r="AH381" s="180">
        <f t="shared" si="91"/>
        <v>0.13377308707124011</v>
      </c>
      <c r="AI381" s="189">
        <v>267</v>
      </c>
      <c r="AJ381" s="125">
        <v>313.1404</v>
      </c>
      <c r="AK381" s="149">
        <v>86</v>
      </c>
      <c r="AL381" s="221">
        <v>68</v>
      </c>
      <c r="AM381" s="216">
        <v>100</v>
      </c>
      <c r="AN381" s="213">
        <v>1.801801801801802</v>
      </c>
      <c r="AO381" s="127">
        <v>3.0150000000000001</v>
      </c>
      <c r="AP381" s="133">
        <v>1.516</v>
      </c>
      <c r="AQ381" s="224">
        <f t="shared" si="87"/>
        <v>1.0595238095238095</v>
      </c>
      <c r="AR381" s="158">
        <v>252</v>
      </c>
      <c r="AS381" s="229">
        <f t="shared" si="88"/>
        <v>0.85031847133757965</v>
      </c>
      <c r="AT381" s="230">
        <v>314</v>
      </c>
      <c r="AU381" s="203">
        <v>19.475655430711612</v>
      </c>
      <c r="AV381" s="204">
        <v>65.168539325842701</v>
      </c>
      <c r="AW381" s="205">
        <v>15.355805243445692</v>
      </c>
      <c r="AX381" s="123">
        <v>0.56179999999999997</v>
      </c>
      <c r="AY381" s="281">
        <v>7.4074074074074066</v>
      </c>
      <c r="AZ381" s="282">
        <v>45.185185185185183</v>
      </c>
      <c r="BA381" s="283">
        <f t="shared" si="89"/>
        <v>47.407407407407412</v>
      </c>
      <c r="BB381" s="234">
        <v>58.666666666666664</v>
      </c>
      <c r="BC381" s="19">
        <v>2013</v>
      </c>
      <c r="BD381" s="263" t="s">
        <v>556</v>
      </c>
      <c r="BE381" s="262" t="s">
        <v>557</v>
      </c>
      <c r="BF381" s="260" t="s">
        <v>557</v>
      </c>
      <c r="BG381" s="256">
        <v>0.75757575757575757</v>
      </c>
      <c r="BH381" s="248" t="s">
        <v>556</v>
      </c>
      <c r="BI381" s="249">
        <v>27.822580645161288</v>
      </c>
      <c r="BJ381" s="309" t="s">
        <v>557</v>
      </c>
      <c r="BK381" s="307" t="s">
        <v>557</v>
      </c>
      <c r="BL381" s="319" t="s">
        <v>1728</v>
      </c>
      <c r="BM381" s="320" t="s">
        <v>556</v>
      </c>
      <c r="BN381" s="321" t="s">
        <v>1838</v>
      </c>
      <c r="BO381" s="21" t="s">
        <v>557</v>
      </c>
      <c r="BP381" s="10" t="s">
        <v>557</v>
      </c>
      <c r="BQ381" s="10" t="s">
        <v>557</v>
      </c>
      <c r="BR381" s="56"/>
    </row>
    <row r="382" spans="1:70" s="72" customFormat="1" ht="13.95" customHeight="1" x14ac:dyDescent="0.3">
      <c r="A382" s="56" t="s">
        <v>459</v>
      </c>
      <c r="B382" s="57" t="s">
        <v>462</v>
      </c>
      <c r="C382" s="55" t="s">
        <v>441</v>
      </c>
      <c r="D382" s="58">
        <v>3</v>
      </c>
      <c r="E382" s="59" t="s">
        <v>1694</v>
      </c>
      <c r="F382" s="60" t="s">
        <v>456</v>
      </c>
      <c r="G382" s="61" t="s">
        <v>531</v>
      </c>
      <c r="H382" s="61" t="s">
        <v>531</v>
      </c>
      <c r="I382" s="62" t="s">
        <v>531</v>
      </c>
      <c r="J382" s="63" t="s">
        <v>2354</v>
      </c>
      <c r="K382" s="101" t="s">
        <v>1652</v>
      </c>
      <c r="L382" s="130">
        <v>499693384</v>
      </c>
      <c r="M382" s="109" t="s">
        <v>564</v>
      </c>
      <c r="N382" s="12" t="s">
        <v>1651</v>
      </c>
      <c r="O382" s="100"/>
      <c r="P382" s="131">
        <v>777711702</v>
      </c>
      <c r="Q382" s="82"/>
      <c r="S382" s="115"/>
      <c r="T382" s="112"/>
      <c r="U382" s="170">
        <f>120846+800000</f>
        <v>920846</v>
      </c>
      <c r="V382" s="48">
        <f t="shared" si="77"/>
        <v>2176.9408983451535</v>
      </c>
      <c r="W382" s="171">
        <f t="shared" si="78"/>
        <v>673.04138332623268</v>
      </c>
      <c r="X382" s="69">
        <f>253000+48000</f>
        <v>301000</v>
      </c>
      <c r="Y382" s="48">
        <f t="shared" si="79"/>
        <v>711.58392434988184</v>
      </c>
      <c r="Z382" s="137">
        <f t="shared" si="80"/>
        <v>219.99927933790886</v>
      </c>
      <c r="AA382" s="69">
        <v>0</v>
      </c>
      <c r="AB382" s="48">
        <f t="shared" si="81"/>
        <v>0</v>
      </c>
      <c r="AC382" s="137">
        <f t="shared" si="82"/>
        <v>0</v>
      </c>
      <c r="AD382" s="70">
        <f t="shared" si="83"/>
        <v>1221846</v>
      </c>
      <c r="AE382" s="71">
        <f t="shared" si="84"/>
        <v>2888.5248226950353</v>
      </c>
      <c r="AF382" s="193">
        <f t="shared" si="85"/>
        <v>893.04066266414156</v>
      </c>
      <c r="AG382" s="185">
        <f t="shared" si="86"/>
        <v>4.1887075762769975E-2</v>
      </c>
      <c r="AH382" s="180">
        <f t="shared" si="91"/>
        <v>0.25804561774023232</v>
      </c>
      <c r="AI382" s="189">
        <v>423</v>
      </c>
      <c r="AJ382" s="125">
        <v>1368.1863000000001</v>
      </c>
      <c r="AK382" s="149">
        <v>279</v>
      </c>
      <c r="AL382" s="221">
        <v>128</v>
      </c>
      <c r="AM382" s="216">
        <v>90.322580645161281</v>
      </c>
      <c r="AN382" s="213">
        <v>29.277566539923956</v>
      </c>
      <c r="AO382" s="127">
        <v>5.8339999999999996</v>
      </c>
      <c r="AP382" s="133">
        <v>0.94699999999999995</v>
      </c>
      <c r="AQ382" s="224">
        <f t="shared" si="87"/>
        <v>1.1589041095890411</v>
      </c>
      <c r="AR382" s="158">
        <v>365</v>
      </c>
      <c r="AS382" s="229">
        <f t="shared" si="88"/>
        <v>0.36496980155306297</v>
      </c>
      <c r="AT382" s="230">
        <v>1159</v>
      </c>
      <c r="AU382" s="203">
        <v>16.312056737588655</v>
      </c>
      <c r="AV382" s="204">
        <v>63.12056737588653</v>
      </c>
      <c r="AW382" s="205">
        <v>20.567375886524822</v>
      </c>
      <c r="AX382" s="123">
        <v>7.8651999999999997</v>
      </c>
      <c r="AY382" s="281">
        <v>12.068965517241379</v>
      </c>
      <c r="AZ382" s="282">
        <v>43.678160919540232</v>
      </c>
      <c r="BA382" s="283">
        <f t="shared" si="89"/>
        <v>44.252873563218387</v>
      </c>
      <c r="BB382" s="234">
        <v>80.701754385964918</v>
      </c>
      <c r="BC382" s="20">
        <v>2005</v>
      </c>
      <c r="BD382" s="263" t="s">
        <v>556</v>
      </c>
      <c r="BE382" s="261" t="s">
        <v>556</v>
      </c>
      <c r="BF382" s="260" t="s">
        <v>557</v>
      </c>
      <c r="BG382" s="256">
        <v>15.88089330024814</v>
      </c>
      <c r="BH382" s="248" t="s">
        <v>556</v>
      </c>
      <c r="BI382" s="249">
        <v>41.253263707571804</v>
      </c>
      <c r="BJ382" s="308" t="s">
        <v>556</v>
      </c>
      <c r="BK382" s="307" t="s">
        <v>557</v>
      </c>
      <c r="BL382" s="319" t="s">
        <v>1728</v>
      </c>
      <c r="BM382" s="320" t="s">
        <v>556</v>
      </c>
      <c r="BN382" s="321" t="s">
        <v>1838</v>
      </c>
      <c r="BO382" s="145" t="s">
        <v>557</v>
      </c>
      <c r="BP382" s="14" t="s">
        <v>556</v>
      </c>
      <c r="BQ382" s="14" t="s">
        <v>557</v>
      </c>
      <c r="BR382" s="56"/>
    </row>
    <row r="383" spans="1:70" s="72" customFormat="1" ht="13.95" customHeight="1" x14ac:dyDescent="0.3">
      <c r="A383" s="56" t="s">
        <v>459</v>
      </c>
      <c r="B383" s="57" t="s">
        <v>462</v>
      </c>
      <c r="C383" s="55" t="s">
        <v>200</v>
      </c>
      <c r="D383" s="58">
        <v>3</v>
      </c>
      <c r="E383" s="59" t="s">
        <v>622</v>
      </c>
      <c r="F383" s="60" t="s">
        <v>453</v>
      </c>
      <c r="G383" s="61" t="s">
        <v>117</v>
      </c>
      <c r="H383" s="61" t="s">
        <v>117</v>
      </c>
      <c r="I383" s="62" t="s">
        <v>117</v>
      </c>
      <c r="J383" s="63" t="s">
        <v>2355</v>
      </c>
      <c r="K383" s="99" t="s">
        <v>1178</v>
      </c>
      <c r="L383" s="130">
        <v>493696613</v>
      </c>
      <c r="M383" s="109" t="s">
        <v>537</v>
      </c>
      <c r="N383" s="12" t="s">
        <v>2356</v>
      </c>
      <c r="O383" s="100"/>
      <c r="P383" s="131" t="s">
        <v>457</v>
      </c>
      <c r="Q383" s="67"/>
      <c r="R383" s="68"/>
      <c r="S383" s="99"/>
      <c r="T383" s="65"/>
      <c r="U383" s="170">
        <v>190000</v>
      </c>
      <c r="V383" s="48">
        <f t="shared" si="77"/>
        <v>639.73063973063972</v>
      </c>
      <c r="W383" s="171">
        <f t="shared" si="78"/>
        <v>302.78590120478515</v>
      </c>
      <c r="X383" s="69">
        <v>110700</v>
      </c>
      <c r="Y383" s="48">
        <f t="shared" si="79"/>
        <v>372.72727272727275</v>
      </c>
      <c r="Z383" s="137">
        <f t="shared" si="80"/>
        <v>176.41262770194587</v>
      </c>
      <c r="AA383" s="69">
        <v>0</v>
      </c>
      <c r="AB383" s="48">
        <f t="shared" si="81"/>
        <v>0</v>
      </c>
      <c r="AC383" s="137">
        <f t="shared" si="82"/>
        <v>0</v>
      </c>
      <c r="AD383" s="70">
        <f t="shared" si="83"/>
        <v>300700</v>
      </c>
      <c r="AE383" s="71">
        <f t="shared" si="84"/>
        <v>1012.4579124579125</v>
      </c>
      <c r="AF383" s="193">
        <f t="shared" si="85"/>
        <v>479.19852890673098</v>
      </c>
      <c r="AG383" s="185">
        <f t="shared" si="86"/>
        <v>1.8147254073627037E-2</v>
      </c>
      <c r="AH383" s="180">
        <f t="shared" si="91"/>
        <v>0.31160621761658031</v>
      </c>
      <c r="AI383" s="189">
        <v>297</v>
      </c>
      <c r="AJ383" s="125">
        <v>627.50609999999995</v>
      </c>
      <c r="AK383" s="149">
        <v>127</v>
      </c>
      <c r="AL383" s="221">
        <v>86</v>
      </c>
      <c r="AM383" s="216">
        <v>92.783505154639172</v>
      </c>
      <c r="AN383" s="213">
        <v>13.571428571428569</v>
      </c>
      <c r="AO383" s="127">
        <v>3.3140000000000001</v>
      </c>
      <c r="AP383" s="133">
        <v>0.193</v>
      </c>
      <c r="AQ383" s="224">
        <f t="shared" si="87"/>
        <v>0.97377049180327868</v>
      </c>
      <c r="AR383" s="158">
        <v>305</v>
      </c>
      <c r="AS383" s="229">
        <f t="shared" si="88"/>
        <v>0.60860655737704916</v>
      </c>
      <c r="AT383" s="230">
        <v>488</v>
      </c>
      <c r="AU383" s="203">
        <v>15.488215488215488</v>
      </c>
      <c r="AV383" s="204">
        <v>66.666666666666671</v>
      </c>
      <c r="AW383" s="205">
        <v>17.845117845117844</v>
      </c>
      <c r="AX383" s="123">
        <v>4.0201000000000002</v>
      </c>
      <c r="AY383" s="281">
        <v>10.810810810810811</v>
      </c>
      <c r="AZ383" s="282">
        <v>31.531531531531531</v>
      </c>
      <c r="BA383" s="283">
        <f t="shared" si="89"/>
        <v>57.657657657657666</v>
      </c>
      <c r="BB383" s="234">
        <v>71.428571428571431</v>
      </c>
      <c r="BC383" s="20">
        <v>2002</v>
      </c>
      <c r="BD383" s="264" t="s">
        <v>557</v>
      </c>
      <c r="BE383" s="261" t="s">
        <v>556</v>
      </c>
      <c r="BF383" s="260" t="s">
        <v>557</v>
      </c>
      <c r="BG383" s="256">
        <v>31.25</v>
      </c>
      <c r="BH383" s="248" t="s">
        <v>556</v>
      </c>
      <c r="BI383" s="249">
        <v>64.049586776859499</v>
      </c>
      <c r="BJ383" s="308" t="s">
        <v>556</v>
      </c>
      <c r="BK383" s="307" t="s">
        <v>557</v>
      </c>
      <c r="BL383" s="319" t="s">
        <v>1728</v>
      </c>
      <c r="BM383" s="320" t="s">
        <v>556</v>
      </c>
      <c r="BN383" s="321" t="s">
        <v>1789</v>
      </c>
      <c r="BO383" s="145" t="s">
        <v>557</v>
      </c>
      <c r="BP383" s="14" t="s">
        <v>557</v>
      </c>
      <c r="BQ383" s="14" t="s">
        <v>557</v>
      </c>
    </row>
    <row r="384" spans="1:70" s="72" customFormat="1" ht="13.95" customHeight="1" x14ac:dyDescent="0.3">
      <c r="A384" s="56" t="s">
        <v>459</v>
      </c>
      <c r="B384" s="57" t="s">
        <v>462</v>
      </c>
      <c r="C384" s="55" t="s">
        <v>103</v>
      </c>
      <c r="D384" s="58">
        <v>2</v>
      </c>
      <c r="E384" s="59" t="s">
        <v>496</v>
      </c>
      <c r="F384" s="60" t="s">
        <v>452</v>
      </c>
      <c r="G384" s="61" t="s">
        <v>11</v>
      </c>
      <c r="H384" s="61" t="s">
        <v>11</v>
      </c>
      <c r="I384" s="62" t="s">
        <v>11</v>
      </c>
      <c r="J384" s="63" t="s">
        <v>2357</v>
      </c>
      <c r="K384" s="100" t="s">
        <v>980</v>
      </c>
      <c r="L384" s="130">
        <v>498773907</v>
      </c>
      <c r="M384" s="109" t="s">
        <v>564</v>
      </c>
      <c r="N384" s="12" t="s">
        <v>979</v>
      </c>
      <c r="O384" s="105"/>
      <c r="P384" s="131">
        <v>724183051</v>
      </c>
      <c r="Q384" s="67"/>
      <c r="R384" s="68"/>
      <c r="S384" s="99"/>
      <c r="T384" s="65"/>
      <c r="U384" s="170">
        <v>0</v>
      </c>
      <c r="V384" s="48">
        <f t="shared" si="77"/>
        <v>0</v>
      </c>
      <c r="W384" s="171">
        <f t="shared" si="78"/>
        <v>0</v>
      </c>
      <c r="X384" s="69">
        <v>0</v>
      </c>
      <c r="Y384" s="48">
        <f t="shared" si="79"/>
        <v>0</v>
      </c>
      <c r="Z384" s="137">
        <f t="shared" si="80"/>
        <v>0</v>
      </c>
      <c r="AA384" s="69">
        <v>0</v>
      </c>
      <c r="AB384" s="48">
        <f t="shared" si="81"/>
        <v>0</v>
      </c>
      <c r="AC384" s="137">
        <f t="shared" si="82"/>
        <v>0</v>
      </c>
      <c r="AD384" s="70">
        <f t="shared" si="83"/>
        <v>0</v>
      </c>
      <c r="AE384" s="71">
        <f t="shared" si="84"/>
        <v>0</v>
      </c>
      <c r="AF384" s="193">
        <f t="shared" si="85"/>
        <v>0</v>
      </c>
      <c r="AG384" s="185">
        <f t="shared" si="86"/>
        <v>0</v>
      </c>
      <c r="AH384" s="180">
        <f t="shared" si="91"/>
        <v>0</v>
      </c>
      <c r="AI384" s="189">
        <v>258</v>
      </c>
      <c r="AJ384" s="125">
        <v>473.06990000000002</v>
      </c>
      <c r="AK384" s="149">
        <v>128</v>
      </c>
      <c r="AL384" s="221">
        <v>82</v>
      </c>
      <c r="AM384" s="216">
        <v>100</v>
      </c>
      <c r="AN384" s="213">
        <v>7.8125</v>
      </c>
      <c r="AO384" s="127">
        <v>2.0539999999999998</v>
      </c>
      <c r="AP384" s="133">
        <v>0.254</v>
      </c>
      <c r="AQ384" s="224">
        <f t="shared" si="87"/>
        <v>1.015748031496063</v>
      </c>
      <c r="AR384" s="158">
        <v>254</v>
      </c>
      <c r="AS384" s="229">
        <f t="shared" si="88"/>
        <v>0.5108910891089109</v>
      </c>
      <c r="AT384" s="230">
        <v>505</v>
      </c>
      <c r="AU384" s="203">
        <v>16.666666666666664</v>
      </c>
      <c r="AV384" s="204">
        <v>68.992248062015506</v>
      </c>
      <c r="AW384" s="205">
        <v>14.34108527131783</v>
      </c>
      <c r="AX384" s="123">
        <v>5.6497000000000002</v>
      </c>
      <c r="AY384" s="281">
        <v>10.2803738317757</v>
      </c>
      <c r="AZ384" s="282">
        <v>33.644859813084111</v>
      </c>
      <c r="BA384" s="283">
        <f t="shared" si="89"/>
        <v>56.074766355140184</v>
      </c>
      <c r="BB384" s="234">
        <v>88.888888888888886</v>
      </c>
      <c r="BC384" s="20">
        <v>2017</v>
      </c>
      <c r="BD384" s="263" t="s">
        <v>556</v>
      </c>
      <c r="BE384" s="261" t="s">
        <v>556</v>
      </c>
      <c r="BF384" s="260" t="s">
        <v>557</v>
      </c>
      <c r="BG384" s="256">
        <v>22.76422764227642</v>
      </c>
      <c r="BH384" s="248" t="s">
        <v>556</v>
      </c>
      <c r="BI384" s="249">
        <v>66.808510638297875</v>
      </c>
      <c r="BJ384" s="308" t="s">
        <v>556</v>
      </c>
      <c r="BK384" s="307" t="s">
        <v>557</v>
      </c>
      <c r="BL384" s="319" t="s">
        <v>1728</v>
      </c>
      <c r="BM384" s="320" t="s">
        <v>557</v>
      </c>
      <c r="BN384" s="321" t="s">
        <v>557</v>
      </c>
      <c r="BO384" s="145" t="s">
        <v>557</v>
      </c>
      <c r="BP384" s="14" t="s">
        <v>557</v>
      </c>
      <c r="BQ384" s="14" t="s">
        <v>557</v>
      </c>
    </row>
    <row r="385" spans="1:70" s="56" customFormat="1" ht="13.95" customHeight="1" x14ac:dyDescent="0.3">
      <c r="A385" s="56" t="s">
        <v>459</v>
      </c>
      <c r="B385" s="57" t="s">
        <v>462</v>
      </c>
      <c r="C385" s="55" t="s">
        <v>201</v>
      </c>
      <c r="D385" s="58">
        <v>1</v>
      </c>
      <c r="E385" s="59"/>
      <c r="F385" s="60" t="s">
        <v>453</v>
      </c>
      <c r="G385" s="61" t="s">
        <v>113</v>
      </c>
      <c r="H385" s="61" t="s">
        <v>113</v>
      </c>
      <c r="I385" s="62" t="s">
        <v>156</v>
      </c>
      <c r="J385" s="63" t="s">
        <v>2358</v>
      </c>
      <c r="K385" s="99" t="s">
        <v>1180</v>
      </c>
      <c r="L385" s="130">
        <v>493555484</v>
      </c>
      <c r="M385" s="109" t="s">
        <v>564</v>
      </c>
      <c r="N385" s="12" t="s">
        <v>1179</v>
      </c>
      <c r="O385" s="100"/>
      <c r="P385" s="131">
        <v>608630085</v>
      </c>
      <c r="Q385" s="67"/>
      <c r="R385" s="68"/>
      <c r="S385" s="99"/>
      <c r="T385" s="65"/>
      <c r="U385" s="170">
        <v>359824</v>
      </c>
      <c r="V385" s="48">
        <f t="shared" si="77"/>
        <v>1064.5680473372781</v>
      </c>
      <c r="W385" s="171">
        <f t="shared" si="78"/>
        <v>642.79825466368334</v>
      </c>
      <c r="X385" s="69">
        <v>64000</v>
      </c>
      <c r="Y385" s="48">
        <f t="shared" si="79"/>
        <v>189.3491124260355</v>
      </c>
      <c r="Z385" s="137">
        <f t="shared" si="80"/>
        <v>114.33114049778706</v>
      </c>
      <c r="AA385" s="69">
        <v>0</v>
      </c>
      <c r="AB385" s="48">
        <f t="shared" si="81"/>
        <v>0</v>
      </c>
      <c r="AC385" s="137">
        <f t="shared" si="82"/>
        <v>0</v>
      </c>
      <c r="AD385" s="70">
        <f t="shared" si="83"/>
        <v>423824</v>
      </c>
      <c r="AE385" s="71">
        <f t="shared" si="84"/>
        <v>1253.9171597633135</v>
      </c>
      <c r="AF385" s="193">
        <f t="shared" si="85"/>
        <v>757.12939516147037</v>
      </c>
      <c r="AG385" s="185">
        <f t="shared" si="86"/>
        <v>3.0283958556627369E-2</v>
      </c>
      <c r="AH385" s="180">
        <f t="shared" si="91"/>
        <v>0.58058082191780824</v>
      </c>
      <c r="AI385" s="189">
        <v>338</v>
      </c>
      <c r="AJ385" s="125">
        <v>559.77750000000003</v>
      </c>
      <c r="AK385" s="149">
        <v>145</v>
      </c>
      <c r="AL385" s="221">
        <v>105</v>
      </c>
      <c r="AM385" s="216">
        <v>99.21875</v>
      </c>
      <c r="AN385" s="213">
        <v>9.8159509202453989</v>
      </c>
      <c r="AO385" s="127">
        <v>2.7989999999999999</v>
      </c>
      <c r="AP385" s="133">
        <v>0.14599999999999999</v>
      </c>
      <c r="AQ385" s="224">
        <f t="shared" si="87"/>
        <v>1.0180722891566265</v>
      </c>
      <c r="AR385" s="158">
        <v>332</v>
      </c>
      <c r="AS385" s="229">
        <f t="shared" si="88"/>
        <v>0.61010830324909748</v>
      </c>
      <c r="AT385" s="230">
        <v>554</v>
      </c>
      <c r="AU385" s="203">
        <v>16.568047337278109</v>
      </c>
      <c r="AV385" s="204">
        <v>65.976331360946745</v>
      </c>
      <c r="AW385" s="205">
        <v>17.45562130177515</v>
      </c>
      <c r="AX385" s="123">
        <v>4.6512000000000002</v>
      </c>
      <c r="AY385" s="281">
        <v>8.2758620689655178</v>
      </c>
      <c r="AZ385" s="282">
        <v>40.689655172413794</v>
      </c>
      <c r="BA385" s="283">
        <f t="shared" si="89"/>
        <v>51.034482758620683</v>
      </c>
      <c r="BB385" s="234">
        <v>94.20289855072464</v>
      </c>
      <c r="BC385" s="20">
        <v>2016</v>
      </c>
      <c r="BD385" s="263" t="s">
        <v>556</v>
      </c>
      <c r="BE385" s="261" t="s">
        <v>556</v>
      </c>
      <c r="BF385" s="260" t="s">
        <v>557</v>
      </c>
      <c r="BG385" s="256">
        <v>53.048780487804883</v>
      </c>
      <c r="BH385" s="248" t="s">
        <v>556</v>
      </c>
      <c r="BI385" s="249">
        <v>76.582278481012651</v>
      </c>
      <c r="BJ385" s="309" t="s">
        <v>557</v>
      </c>
      <c r="BK385" s="307" t="s">
        <v>557</v>
      </c>
      <c r="BL385" s="319" t="s">
        <v>1728</v>
      </c>
      <c r="BM385" s="320" t="s">
        <v>556</v>
      </c>
      <c r="BN385" s="321" t="s">
        <v>1781</v>
      </c>
      <c r="BO385" s="145" t="s">
        <v>556</v>
      </c>
      <c r="BP385" s="14" t="s">
        <v>557</v>
      </c>
      <c r="BQ385" s="14" t="s">
        <v>557</v>
      </c>
    </row>
    <row r="386" spans="1:70" s="72" customFormat="1" ht="13.95" customHeight="1" x14ac:dyDescent="0.3">
      <c r="A386" s="56" t="s">
        <v>459</v>
      </c>
      <c r="B386" s="57" t="s">
        <v>462</v>
      </c>
      <c r="C386" s="55" t="s">
        <v>202</v>
      </c>
      <c r="D386" s="58">
        <v>2</v>
      </c>
      <c r="E386" s="59" t="s">
        <v>623</v>
      </c>
      <c r="F386" s="60" t="s">
        <v>453</v>
      </c>
      <c r="G386" s="61" t="s">
        <v>113</v>
      </c>
      <c r="H386" s="61" t="s">
        <v>113</v>
      </c>
      <c r="I386" s="62" t="s">
        <v>113</v>
      </c>
      <c r="J386" s="63" t="s">
        <v>2360</v>
      </c>
      <c r="K386" s="99" t="s">
        <v>1182</v>
      </c>
      <c r="L386" s="130">
        <v>493555531</v>
      </c>
      <c r="M386" s="109" t="s">
        <v>564</v>
      </c>
      <c r="N386" s="12" t="s">
        <v>1181</v>
      </c>
      <c r="O386" s="100"/>
      <c r="P386" s="131" t="s">
        <v>2359</v>
      </c>
      <c r="Q386" s="67"/>
      <c r="R386" s="68"/>
      <c r="S386" s="99"/>
      <c r="T386" s="65"/>
      <c r="U386" s="170">
        <v>760000</v>
      </c>
      <c r="V386" s="48">
        <f t="shared" si="77"/>
        <v>4470.588235294118</v>
      </c>
      <c r="W386" s="171">
        <f t="shared" si="78"/>
        <v>1312.3772020739705</v>
      </c>
      <c r="X386" s="69">
        <v>249000</v>
      </c>
      <c r="Y386" s="48">
        <f t="shared" si="79"/>
        <v>1464.7058823529412</v>
      </c>
      <c r="Z386" s="137">
        <f t="shared" si="80"/>
        <v>429.97621489002449</v>
      </c>
      <c r="AA386" s="69">
        <v>0</v>
      </c>
      <c r="AB386" s="48">
        <f t="shared" si="81"/>
        <v>0</v>
      </c>
      <c r="AC386" s="137">
        <f t="shared" si="82"/>
        <v>0</v>
      </c>
      <c r="AD386" s="70">
        <f t="shared" si="83"/>
        <v>1009000</v>
      </c>
      <c r="AE386" s="71">
        <f t="shared" si="84"/>
        <v>5935.2941176470586</v>
      </c>
      <c r="AF386" s="193">
        <f t="shared" si="85"/>
        <v>1742.353416963995</v>
      </c>
      <c r="AG386" s="185">
        <f t="shared" si="86"/>
        <v>5.8713994762874595E-2</v>
      </c>
      <c r="AH386" s="180">
        <f t="shared" si="91"/>
        <v>0.11962062833432127</v>
      </c>
      <c r="AI386" s="189">
        <v>170</v>
      </c>
      <c r="AJ386" s="125">
        <v>579.10180000000003</v>
      </c>
      <c r="AK386" s="149">
        <v>97</v>
      </c>
      <c r="AL386" s="221">
        <v>54</v>
      </c>
      <c r="AM386" s="216">
        <v>88.888888888888886</v>
      </c>
      <c r="AN386" s="213">
        <v>23.52941176470588</v>
      </c>
      <c r="AO386" s="127">
        <v>3.4369999999999998</v>
      </c>
      <c r="AP386" s="133">
        <v>1.6870000000000001</v>
      </c>
      <c r="AQ386" s="224">
        <f t="shared" si="87"/>
        <v>1.3934426229508197</v>
      </c>
      <c r="AR386" s="158">
        <v>122</v>
      </c>
      <c r="AS386" s="229">
        <f t="shared" si="88"/>
        <v>0.43256997455470736</v>
      </c>
      <c r="AT386" s="230">
        <v>393</v>
      </c>
      <c r="AU386" s="203">
        <v>21.764705882352942</v>
      </c>
      <c r="AV386" s="204">
        <v>61.17647058823529</v>
      </c>
      <c r="AW386" s="205">
        <v>17.058823529411764</v>
      </c>
      <c r="AX386" s="123">
        <v>0.90910000000000002</v>
      </c>
      <c r="AY386" s="281">
        <v>6.4102564102564097</v>
      </c>
      <c r="AZ386" s="282">
        <v>42.307692307692307</v>
      </c>
      <c r="BA386" s="283">
        <f t="shared" si="89"/>
        <v>51.282051282051285</v>
      </c>
      <c r="BB386" s="234">
        <v>97.368421052631575</v>
      </c>
      <c r="BC386" s="20" t="s">
        <v>557</v>
      </c>
      <c r="BD386" s="263" t="s">
        <v>556</v>
      </c>
      <c r="BE386" s="261" t="s">
        <v>556</v>
      </c>
      <c r="BF386" s="260" t="s">
        <v>557</v>
      </c>
      <c r="BG386" s="256">
        <v>14.450867052023122</v>
      </c>
      <c r="BH386" s="248" t="s">
        <v>556</v>
      </c>
      <c r="BI386" s="249">
        <v>37.820512820512818</v>
      </c>
      <c r="BJ386" s="309" t="s">
        <v>557</v>
      </c>
      <c r="BK386" s="307" t="s">
        <v>557</v>
      </c>
      <c r="BL386" s="319" t="s">
        <v>1728</v>
      </c>
      <c r="BM386" s="320" t="s">
        <v>556</v>
      </c>
      <c r="BN386" s="321" t="s">
        <v>1791</v>
      </c>
      <c r="BO386" s="145" t="s">
        <v>557</v>
      </c>
      <c r="BP386" s="14" t="s">
        <v>557</v>
      </c>
      <c r="BQ386" s="14" t="s">
        <v>557</v>
      </c>
      <c r="BR386" s="56"/>
    </row>
    <row r="387" spans="1:70" s="56" customFormat="1" ht="13.95" customHeight="1" x14ac:dyDescent="0.3">
      <c r="A387" s="56" t="s">
        <v>459</v>
      </c>
      <c r="B387" s="57" t="s">
        <v>462</v>
      </c>
      <c r="C387" s="55" t="s">
        <v>370</v>
      </c>
      <c r="D387" s="58">
        <v>2</v>
      </c>
      <c r="E387" s="59" t="s">
        <v>713</v>
      </c>
      <c r="F387" s="60" t="s">
        <v>455</v>
      </c>
      <c r="G387" s="61" t="s">
        <v>529</v>
      </c>
      <c r="H387" s="61" t="s">
        <v>529</v>
      </c>
      <c r="I387" s="62" t="s">
        <v>529</v>
      </c>
      <c r="J387" s="63" t="s">
        <v>2362</v>
      </c>
      <c r="K387" s="99" t="s">
        <v>2361</v>
      </c>
      <c r="L387" s="130">
        <v>494323257</v>
      </c>
      <c r="M387" s="109" t="s">
        <v>564</v>
      </c>
      <c r="N387" s="12" t="s">
        <v>1519</v>
      </c>
      <c r="O387" s="100" t="s">
        <v>1518</v>
      </c>
      <c r="P387" s="131">
        <v>603889475</v>
      </c>
      <c r="Q387" s="82"/>
      <c r="R387" s="72"/>
      <c r="S387" s="115"/>
      <c r="T387" s="112"/>
      <c r="U387" s="170">
        <v>400000</v>
      </c>
      <c r="V387" s="48">
        <f t="shared" si="77"/>
        <v>1166.1807580174927</v>
      </c>
      <c r="W387" s="171">
        <f t="shared" si="78"/>
        <v>720.14979115656047</v>
      </c>
      <c r="X387" s="69">
        <v>0</v>
      </c>
      <c r="Y387" s="48">
        <f t="shared" si="79"/>
        <v>0</v>
      </c>
      <c r="Z387" s="137">
        <f t="shared" si="80"/>
        <v>0</v>
      </c>
      <c r="AA387" s="69">
        <v>0</v>
      </c>
      <c r="AB387" s="48">
        <f t="shared" si="81"/>
        <v>0</v>
      </c>
      <c r="AC387" s="137">
        <f t="shared" si="82"/>
        <v>0</v>
      </c>
      <c r="AD387" s="70">
        <f t="shared" si="83"/>
        <v>400000</v>
      </c>
      <c r="AE387" s="71">
        <f t="shared" si="84"/>
        <v>1166.1807580174927</v>
      </c>
      <c r="AF387" s="193">
        <f t="shared" si="85"/>
        <v>720.14979115656047</v>
      </c>
      <c r="AG387" s="185">
        <f t="shared" si="86"/>
        <v>3.1274433150899138E-2</v>
      </c>
      <c r="AH387" s="180">
        <f t="shared" si="91"/>
        <v>1.5384615384615383</v>
      </c>
      <c r="AI387" s="189">
        <v>343</v>
      </c>
      <c r="AJ387" s="125">
        <v>555.44000000000005</v>
      </c>
      <c r="AK387" s="149">
        <v>127</v>
      </c>
      <c r="AL387" s="221">
        <v>98</v>
      </c>
      <c r="AM387" s="216">
        <v>91.729323308270665</v>
      </c>
      <c r="AN387" s="213">
        <v>6.4102564102564097</v>
      </c>
      <c r="AO387" s="127">
        <v>2.5579999999999998</v>
      </c>
      <c r="AP387" s="133">
        <v>5.1999999999999998E-2</v>
      </c>
      <c r="AQ387" s="224">
        <f t="shared" si="87"/>
        <v>1.0238805970149254</v>
      </c>
      <c r="AR387" s="158">
        <v>335</v>
      </c>
      <c r="AS387" s="229">
        <f t="shared" si="88"/>
        <v>0.69433198380566796</v>
      </c>
      <c r="AT387" s="230">
        <v>494</v>
      </c>
      <c r="AU387" s="203">
        <v>13.702623906705538</v>
      </c>
      <c r="AV387" s="204">
        <v>68.804664723032062</v>
      </c>
      <c r="AW387" s="205">
        <v>17.492711370262391</v>
      </c>
      <c r="AX387" s="123">
        <v>1.6460999999999999</v>
      </c>
      <c r="AY387" s="281">
        <v>12.138728323699421</v>
      </c>
      <c r="AZ387" s="282">
        <v>43.930635838150287</v>
      </c>
      <c r="BA387" s="283">
        <f t="shared" si="89"/>
        <v>43.930635838150287</v>
      </c>
      <c r="BB387" s="234">
        <v>75</v>
      </c>
      <c r="BC387" s="20">
        <v>2014</v>
      </c>
      <c r="BD387" s="263" t="s">
        <v>556</v>
      </c>
      <c r="BE387" s="262" t="s">
        <v>557</v>
      </c>
      <c r="BF387" s="260" t="s">
        <v>557</v>
      </c>
      <c r="BG387" s="256">
        <v>0</v>
      </c>
      <c r="BH387" s="248" t="s">
        <v>556</v>
      </c>
      <c r="BI387" s="249">
        <v>25.77639751552795</v>
      </c>
      <c r="BJ387" s="309" t="s">
        <v>557</v>
      </c>
      <c r="BK387" s="307" t="s">
        <v>557</v>
      </c>
      <c r="BL387" s="319" t="s">
        <v>1728</v>
      </c>
      <c r="BM387" s="320" t="s">
        <v>556</v>
      </c>
      <c r="BN387" s="321" t="s">
        <v>2159</v>
      </c>
      <c r="BO387" s="145" t="s">
        <v>557</v>
      </c>
      <c r="BP387" s="14" t="s">
        <v>557</v>
      </c>
      <c r="BQ387" s="14" t="s">
        <v>557</v>
      </c>
    </row>
    <row r="388" spans="1:70" s="72" customFormat="1" ht="13.95" customHeight="1" x14ac:dyDescent="0.3">
      <c r="A388" s="56" t="s">
        <v>461</v>
      </c>
      <c r="B388" s="77" t="s">
        <v>464</v>
      </c>
      <c r="C388" s="74" t="s">
        <v>302</v>
      </c>
      <c r="D388" s="58">
        <v>6</v>
      </c>
      <c r="E388" s="59" t="s">
        <v>714</v>
      </c>
      <c r="F388" s="60" t="s">
        <v>455</v>
      </c>
      <c r="G388" s="75" t="s">
        <v>529</v>
      </c>
      <c r="H388" s="75" t="s">
        <v>530</v>
      </c>
      <c r="I388" s="76" t="s">
        <v>530</v>
      </c>
      <c r="J388" s="63" t="s">
        <v>2365</v>
      </c>
      <c r="K388" s="99" t="s">
        <v>2363</v>
      </c>
      <c r="L388" s="130">
        <v>494337330</v>
      </c>
      <c r="M388" s="109" t="s">
        <v>537</v>
      </c>
      <c r="N388" s="12" t="s">
        <v>1520</v>
      </c>
      <c r="O388" s="100" t="s">
        <v>1521</v>
      </c>
      <c r="P388" s="131" t="s">
        <v>2364</v>
      </c>
      <c r="Q388" s="82"/>
      <c r="S388" s="115"/>
      <c r="T388" s="112"/>
      <c r="U388" s="172">
        <v>0</v>
      </c>
      <c r="V388" s="135">
        <f t="shared" si="77"/>
        <v>0</v>
      </c>
      <c r="W388" s="173">
        <f t="shared" si="78"/>
        <v>0</v>
      </c>
      <c r="X388" s="69">
        <f>666446+90000</f>
        <v>756446</v>
      </c>
      <c r="Y388" s="48">
        <f t="shared" si="79"/>
        <v>121.14766175528507</v>
      </c>
      <c r="Z388" s="137">
        <f t="shared" si="80"/>
        <v>144.19697832676218</v>
      </c>
      <c r="AA388" s="69">
        <v>0</v>
      </c>
      <c r="AB388" s="48">
        <f t="shared" si="81"/>
        <v>0</v>
      </c>
      <c r="AC388" s="137">
        <f t="shared" si="82"/>
        <v>0</v>
      </c>
      <c r="AD388" s="70">
        <f t="shared" si="83"/>
        <v>756446</v>
      </c>
      <c r="AE388" s="71">
        <f t="shared" si="84"/>
        <v>121.14766175528507</v>
      </c>
      <c r="AF388" s="193">
        <f t="shared" si="85"/>
        <v>144.19697832676218</v>
      </c>
      <c r="AG388" s="185">
        <f t="shared" si="86"/>
        <v>2.1373663167709761E-3</v>
      </c>
      <c r="AH388" s="180">
        <f t="shared" si="91"/>
        <v>1.838711716091395E-2</v>
      </c>
      <c r="AI388" s="189">
        <v>6244</v>
      </c>
      <c r="AJ388" s="126">
        <v>5245.9213</v>
      </c>
      <c r="AK388" s="150">
        <v>1570</v>
      </c>
      <c r="AL388" s="221">
        <v>1068</v>
      </c>
      <c r="AM388" s="216">
        <v>41.948470209339774</v>
      </c>
      <c r="AN388" s="213">
        <v>1.1051693404634582</v>
      </c>
      <c r="AO388" s="128">
        <v>70.783000000000001</v>
      </c>
      <c r="AP388" s="134">
        <v>8.2279999999999998</v>
      </c>
      <c r="AQ388" s="224">
        <f t="shared" si="87"/>
        <v>0.96328293736501081</v>
      </c>
      <c r="AR388" s="158">
        <v>6482</v>
      </c>
      <c r="AS388" s="229">
        <f t="shared" si="88"/>
        <v>1.3568013906996959</v>
      </c>
      <c r="AT388" s="230">
        <v>4602</v>
      </c>
      <c r="AU388" s="203">
        <v>14.878283151825752</v>
      </c>
      <c r="AV388" s="204">
        <v>64.84625240230622</v>
      </c>
      <c r="AW388" s="205">
        <v>20.275464445868032</v>
      </c>
      <c r="AX388" s="123">
        <v>2.5514999999999999</v>
      </c>
      <c r="AY388" s="281">
        <v>2.1829130598419271</v>
      </c>
      <c r="AZ388" s="282">
        <v>33.684606699284906</v>
      </c>
      <c r="BA388" s="283">
        <f t="shared" si="89"/>
        <v>64.132480240873178</v>
      </c>
      <c r="BB388" s="234">
        <v>63.552068473609133</v>
      </c>
      <c r="BC388" s="20">
        <v>2004</v>
      </c>
      <c r="BD388" s="263" t="s">
        <v>556</v>
      </c>
      <c r="BE388" s="261" t="s">
        <v>556</v>
      </c>
      <c r="BF388" s="259" t="s">
        <v>556</v>
      </c>
      <c r="BG388" s="256">
        <v>83.483633934535746</v>
      </c>
      <c r="BH388" s="248" t="s">
        <v>556</v>
      </c>
      <c r="BI388" s="249">
        <v>77.987092272806564</v>
      </c>
      <c r="BJ388" s="311" t="s">
        <v>1714</v>
      </c>
      <c r="BK388" s="307" t="s">
        <v>556</v>
      </c>
      <c r="BL388" s="319" t="s">
        <v>1728</v>
      </c>
      <c r="BM388" s="320" t="s">
        <v>556</v>
      </c>
      <c r="BN388" s="321" t="s">
        <v>2366</v>
      </c>
      <c r="BO388" s="145" t="s">
        <v>556</v>
      </c>
      <c r="BP388" s="14">
        <v>3</v>
      </c>
      <c r="BQ388" s="14" t="s">
        <v>556</v>
      </c>
    </row>
    <row r="389" spans="1:70" s="56" customFormat="1" ht="13.95" customHeight="1" x14ac:dyDescent="0.3">
      <c r="A389" s="56" t="s">
        <v>459</v>
      </c>
      <c r="B389" s="57" t="s">
        <v>462</v>
      </c>
      <c r="C389" s="55" t="s">
        <v>203</v>
      </c>
      <c r="D389" s="58">
        <v>6</v>
      </c>
      <c r="E389" s="59" t="s">
        <v>624</v>
      </c>
      <c r="F389" s="60" t="s">
        <v>453</v>
      </c>
      <c r="G389" s="61" t="s">
        <v>169</v>
      </c>
      <c r="H389" s="61" t="s">
        <v>169</v>
      </c>
      <c r="I389" s="62" t="s">
        <v>169</v>
      </c>
      <c r="J389" s="63" t="s">
        <v>2367</v>
      </c>
      <c r="K389" s="99" t="s">
        <v>1184</v>
      </c>
      <c r="L389" s="130">
        <v>493796122</v>
      </c>
      <c r="M389" s="109" t="s">
        <v>564</v>
      </c>
      <c r="N389" s="12" t="s">
        <v>1183</v>
      </c>
      <c r="O389" s="100"/>
      <c r="P389" s="131">
        <v>776687468</v>
      </c>
      <c r="Q389" s="67"/>
      <c r="R389" s="68"/>
      <c r="S389" s="99"/>
      <c r="T389" s="65"/>
      <c r="U389" s="170">
        <f>238000+57000</f>
        <v>295000</v>
      </c>
      <c r="V389" s="48">
        <f t="shared" si="77"/>
        <v>697.39952718676125</v>
      </c>
      <c r="W389" s="171">
        <f t="shared" si="78"/>
        <v>244.65257882478022</v>
      </c>
      <c r="X389" s="69">
        <v>0</v>
      </c>
      <c r="Y389" s="48">
        <f t="shared" si="79"/>
        <v>0</v>
      </c>
      <c r="Z389" s="137">
        <f t="shared" si="80"/>
        <v>0</v>
      </c>
      <c r="AA389" s="69">
        <v>0</v>
      </c>
      <c r="AB389" s="48">
        <f t="shared" si="81"/>
        <v>0</v>
      </c>
      <c r="AC389" s="137">
        <f t="shared" si="82"/>
        <v>0</v>
      </c>
      <c r="AD389" s="70">
        <f t="shared" si="83"/>
        <v>295000</v>
      </c>
      <c r="AE389" s="71">
        <f t="shared" si="84"/>
        <v>697.39952718676125</v>
      </c>
      <c r="AF389" s="193">
        <f t="shared" si="85"/>
        <v>244.65257882478022</v>
      </c>
      <c r="AG389" s="185">
        <f t="shared" si="86"/>
        <v>1.2335354380096173E-2</v>
      </c>
      <c r="AH389" s="180">
        <f t="shared" si="91"/>
        <v>0.121900826446281</v>
      </c>
      <c r="AI389" s="189">
        <v>423</v>
      </c>
      <c r="AJ389" s="125">
        <v>1205.7915</v>
      </c>
      <c r="AK389" s="149">
        <v>351</v>
      </c>
      <c r="AL389" s="221">
        <v>131</v>
      </c>
      <c r="AM389" s="216">
        <v>93.75</v>
      </c>
      <c r="AN389" s="213">
        <v>30.165289256198349</v>
      </c>
      <c r="AO389" s="127">
        <v>4.7830000000000004</v>
      </c>
      <c r="AP389" s="133">
        <v>0.48399999999999999</v>
      </c>
      <c r="AQ389" s="224">
        <f t="shared" si="87"/>
        <v>1.1949152542372881</v>
      </c>
      <c r="AR389" s="158">
        <v>354</v>
      </c>
      <c r="AS389" s="229">
        <f t="shared" si="88"/>
        <v>0.39239332096474955</v>
      </c>
      <c r="AT389" s="230">
        <v>1078</v>
      </c>
      <c r="AU389" s="203">
        <v>17.257683215130022</v>
      </c>
      <c r="AV389" s="204">
        <v>63.593380614657221</v>
      </c>
      <c r="AW389" s="205">
        <v>19.148936170212767</v>
      </c>
      <c r="AX389" s="123">
        <v>4.2968999999999999</v>
      </c>
      <c r="AY389" s="281">
        <v>10.204081632653061</v>
      </c>
      <c r="AZ389" s="282">
        <v>40.136054421768705</v>
      </c>
      <c r="BA389" s="283">
        <f t="shared" si="89"/>
        <v>49.659863945578238</v>
      </c>
      <c r="BB389" s="234">
        <v>94.02985074626865</v>
      </c>
      <c r="BC389" s="20">
        <v>2010</v>
      </c>
      <c r="BD389" s="263" t="s">
        <v>556</v>
      </c>
      <c r="BE389" s="262" t="s">
        <v>557</v>
      </c>
      <c r="BF389" s="260" t="s">
        <v>557</v>
      </c>
      <c r="BG389" s="256">
        <v>0</v>
      </c>
      <c r="BH389" s="254" t="s">
        <v>557</v>
      </c>
      <c r="BI389" s="249">
        <v>0</v>
      </c>
      <c r="BJ389" s="309" t="s">
        <v>557</v>
      </c>
      <c r="BK389" s="307" t="s">
        <v>557</v>
      </c>
      <c r="BL389" s="319" t="s">
        <v>1728</v>
      </c>
      <c r="BM389" s="320" t="s">
        <v>556</v>
      </c>
      <c r="BN389" s="321" t="s">
        <v>1838</v>
      </c>
      <c r="BO389" s="145" t="s">
        <v>556</v>
      </c>
      <c r="BP389" s="14">
        <v>2</v>
      </c>
      <c r="BQ389" s="14" t="s">
        <v>557</v>
      </c>
    </row>
    <row r="390" spans="1:70" s="72" customFormat="1" ht="13.95" customHeight="1" x14ac:dyDescent="0.3">
      <c r="A390" s="56" t="s">
        <v>459</v>
      </c>
      <c r="B390" s="57" t="s">
        <v>462</v>
      </c>
      <c r="C390" s="55" t="s">
        <v>204</v>
      </c>
      <c r="D390" s="58">
        <v>3</v>
      </c>
      <c r="E390" s="59" t="s">
        <v>625</v>
      </c>
      <c r="F390" s="60" t="s">
        <v>453</v>
      </c>
      <c r="G390" s="61" t="s">
        <v>113</v>
      </c>
      <c r="H390" s="61" t="s">
        <v>114</v>
      </c>
      <c r="I390" s="62" t="s">
        <v>115</v>
      </c>
      <c r="J390" s="63" t="s">
        <v>2368</v>
      </c>
      <c r="K390" s="99" t="s">
        <v>1185</v>
      </c>
      <c r="L390" s="130">
        <v>493598749</v>
      </c>
      <c r="M390" s="109" t="s">
        <v>564</v>
      </c>
      <c r="N390" s="12" t="s">
        <v>1186</v>
      </c>
      <c r="O390" s="100"/>
      <c r="P390" s="131">
        <v>724181504</v>
      </c>
      <c r="Q390" s="67"/>
      <c r="R390" s="68"/>
      <c r="S390" s="99"/>
      <c r="T390" s="65"/>
      <c r="U390" s="170">
        <v>226000</v>
      </c>
      <c r="V390" s="48">
        <f t="shared" ref="V390:V453" si="92">IF(U390=0,0,U390/AI390)</f>
        <v>804.27046263345198</v>
      </c>
      <c r="W390" s="171">
        <f t="shared" ref="W390:W453" si="93">IF(U390=0,0,U390/AJ390)</f>
        <v>244.28713986022453</v>
      </c>
      <c r="X390" s="69">
        <v>360000</v>
      </c>
      <c r="Y390" s="48">
        <f t="shared" ref="Y390:Y453" si="94">IF(X390=0,0,X390/AI390)</f>
        <v>1281.1387900355871</v>
      </c>
      <c r="Z390" s="137">
        <f t="shared" ref="Z390:Z453" si="95">IF(X390=0,0,X390/AJ390)</f>
        <v>389.12995729947266</v>
      </c>
      <c r="AA390" s="69">
        <v>0</v>
      </c>
      <c r="AB390" s="48">
        <f t="shared" ref="AB390:AB453" si="96">IF(AA390=0,0,AA390/AI390)</f>
        <v>0</v>
      </c>
      <c r="AC390" s="137">
        <f t="shared" ref="AC390:AC453" si="97">IF(AA390=0,0,AA390/AJ390)</f>
        <v>0</v>
      </c>
      <c r="AD390" s="70">
        <f t="shared" ref="AD390:AD453" si="98">IF(U390+X390+AA390=0,0,U390+X390+AA390)</f>
        <v>586000</v>
      </c>
      <c r="AE390" s="71">
        <f t="shared" ref="AE390:AE453" si="99">IF(AD390=0,0,AD390/AI390)</f>
        <v>2085.4092526690392</v>
      </c>
      <c r="AF390" s="193">
        <f t="shared" ref="AF390:AF453" si="100">IF(AD390=0,0,AD390/AJ390)</f>
        <v>633.41709715969716</v>
      </c>
      <c r="AG390" s="185">
        <f t="shared" ref="AG390:AG453" si="101">IF(AD390=0,0,1/(AO390*5000000/AD390))</f>
        <v>3.6420136730888751E-2</v>
      </c>
      <c r="AH390" s="180">
        <f t="shared" si="91"/>
        <v>0.10882079851439183</v>
      </c>
      <c r="AI390" s="189">
        <v>281</v>
      </c>
      <c r="AJ390" s="125">
        <v>925.14080000000001</v>
      </c>
      <c r="AK390" s="149">
        <v>193</v>
      </c>
      <c r="AL390" s="221">
        <v>93</v>
      </c>
      <c r="AM390" s="216">
        <v>93.069306930693074</v>
      </c>
      <c r="AN390" s="213">
        <v>37.628865979381445</v>
      </c>
      <c r="AO390" s="127">
        <v>3.218</v>
      </c>
      <c r="AP390" s="133">
        <v>1.077</v>
      </c>
      <c r="AQ390" s="224">
        <f t="shared" ref="AQ390:AQ453" si="102">AI390/AR390</f>
        <v>0.97909407665505221</v>
      </c>
      <c r="AR390" s="158">
        <v>287</v>
      </c>
      <c r="AS390" s="229">
        <f t="shared" ref="AS390:AS453" si="103">AI390/AT390</f>
        <v>0.3146696528555431</v>
      </c>
      <c r="AT390" s="230">
        <v>893</v>
      </c>
      <c r="AU390" s="203">
        <v>15.658362989323843</v>
      </c>
      <c r="AV390" s="204">
        <v>60.854092526690387</v>
      </c>
      <c r="AW390" s="205">
        <v>23.487544483985765</v>
      </c>
      <c r="AX390" s="123">
        <v>15.0602</v>
      </c>
      <c r="AY390" s="281">
        <v>9.9009900990099009</v>
      </c>
      <c r="AZ390" s="282">
        <v>33.663366336633665</v>
      </c>
      <c r="BA390" s="283">
        <f t="shared" ref="BA390:BA453" si="104">100-AY390-AZ390</f>
        <v>56.435643564356432</v>
      </c>
      <c r="BB390" s="234">
        <v>82.35294117647058</v>
      </c>
      <c r="BC390" s="20">
        <v>2011</v>
      </c>
      <c r="BD390" s="263" t="s">
        <v>556</v>
      </c>
      <c r="BE390" s="261" t="s">
        <v>556</v>
      </c>
      <c r="BF390" s="260" t="s">
        <v>557</v>
      </c>
      <c r="BG390" s="256">
        <v>4</v>
      </c>
      <c r="BH390" s="254" t="s">
        <v>557</v>
      </c>
      <c r="BI390" s="249">
        <v>0</v>
      </c>
      <c r="BJ390" s="309" t="s">
        <v>557</v>
      </c>
      <c r="BK390" s="307" t="s">
        <v>557</v>
      </c>
      <c r="BL390" s="319" t="s">
        <v>1728</v>
      </c>
      <c r="BM390" s="320" t="s">
        <v>556</v>
      </c>
      <c r="BN390" s="321" t="s">
        <v>1838</v>
      </c>
      <c r="BO390" s="145" t="s">
        <v>557</v>
      </c>
      <c r="BP390" s="14" t="s">
        <v>556</v>
      </c>
      <c r="BQ390" s="14" t="s">
        <v>557</v>
      </c>
    </row>
    <row r="391" spans="1:70" s="56" customFormat="1" ht="13.95" customHeight="1" x14ac:dyDescent="0.3">
      <c r="A391" s="56" t="s">
        <v>459</v>
      </c>
      <c r="B391" s="57" t="s">
        <v>462</v>
      </c>
      <c r="C391" s="55" t="s">
        <v>205</v>
      </c>
      <c r="D391" s="58">
        <v>2</v>
      </c>
      <c r="E391" s="59" t="s">
        <v>626</v>
      </c>
      <c r="F391" s="60" t="s">
        <v>453</v>
      </c>
      <c r="G391" s="61" t="s">
        <v>117</v>
      </c>
      <c r="H391" s="61" t="s">
        <v>117</v>
      </c>
      <c r="I391" s="62" t="s">
        <v>122</v>
      </c>
      <c r="J391" s="63" t="s">
        <v>2369</v>
      </c>
      <c r="K391" s="99" t="s">
        <v>1187</v>
      </c>
      <c r="L391" s="130"/>
      <c r="M391" s="109" t="s">
        <v>537</v>
      </c>
      <c r="N391" s="12" t="s">
        <v>1188</v>
      </c>
      <c r="O391" s="100"/>
      <c r="P391" s="131">
        <v>775940406</v>
      </c>
      <c r="Q391" s="67"/>
      <c r="R391" s="68"/>
      <c r="S391" s="99"/>
      <c r="T391" s="65"/>
      <c r="U391" s="170">
        <f>285000+265300</f>
        <v>550300</v>
      </c>
      <c r="V391" s="48">
        <f t="shared" si="92"/>
        <v>3482.9113924050635</v>
      </c>
      <c r="W391" s="171">
        <f t="shared" si="93"/>
        <v>1335.8679949769617</v>
      </c>
      <c r="X391" s="69">
        <v>258720</v>
      </c>
      <c r="Y391" s="48">
        <f t="shared" si="94"/>
        <v>1637.4683544303798</v>
      </c>
      <c r="Z391" s="137">
        <f t="shared" si="95"/>
        <v>628.04973225593221</v>
      </c>
      <c r="AA391" s="69">
        <v>0</v>
      </c>
      <c r="AB391" s="48">
        <f t="shared" si="96"/>
        <v>0</v>
      </c>
      <c r="AC391" s="137">
        <f t="shared" si="97"/>
        <v>0</v>
      </c>
      <c r="AD391" s="70">
        <f t="shared" si="98"/>
        <v>809020</v>
      </c>
      <c r="AE391" s="71">
        <f t="shared" si="99"/>
        <v>5120.3797468354433</v>
      </c>
      <c r="AF391" s="193">
        <f t="shared" si="100"/>
        <v>1963.9177272328939</v>
      </c>
      <c r="AG391" s="185">
        <f t="shared" si="101"/>
        <v>5.5621863183224478E-2</v>
      </c>
      <c r="AH391" s="180">
        <f t="shared" si="91"/>
        <v>0.11220804438280167</v>
      </c>
      <c r="AI391" s="189">
        <v>158</v>
      </c>
      <c r="AJ391" s="125">
        <v>411.94189999999998</v>
      </c>
      <c r="AK391" s="149">
        <v>145</v>
      </c>
      <c r="AL391" s="221">
        <v>45</v>
      </c>
      <c r="AM391" s="216">
        <v>83.636363636363626</v>
      </c>
      <c r="AN391" s="213">
        <v>1.0416666666666667</v>
      </c>
      <c r="AO391" s="127">
        <v>2.9089999999999998</v>
      </c>
      <c r="AP391" s="133">
        <v>1.4419999999999999</v>
      </c>
      <c r="AQ391" s="224">
        <f t="shared" si="102"/>
        <v>1.5192307692307692</v>
      </c>
      <c r="AR391" s="158">
        <v>104</v>
      </c>
      <c r="AS391" s="229">
        <f t="shared" si="103"/>
        <v>0.44011142061281339</v>
      </c>
      <c r="AT391" s="230">
        <v>359</v>
      </c>
      <c r="AU391" s="203">
        <v>17.721518987341771</v>
      </c>
      <c r="AV391" s="204">
        <v>63.291139240506332</v>
      </c>
      <c r="AW391" s="205">
        <v>18.9873417721519</v>
      </c>
      <c r="AX391" s="123">
        <v>3.9216000000000002</v>
      </c>
      <c r="AY391" s="281">
        <v>5.2631578947368416</v>
      </c>
      <c r="AZ391" s="282">
        <v>29.82456140350877</v>
      </c>
      <c r="BA391" s="283">
        <f t="shared" si="104"/>
        <v>64.912280701754398</v>
      </c>
      <c r="BB391" s="234">
        <v>100</v>
      </c>
      <c r="BC391" s="20">
        <v>2015</v>
      </c>
      <c r="BD391" s="264" t="s">
        <v>557</v>
      </c>
      <c r="BE391" s="262" t="s">
        <v>557</v>
      </c>
      <c r="BF391" s="260" t="s">
        <v>557</v>
      </c>
      <c r="BG391" s="256">
        <v>0</v>
      </c>
      <c r="BH391" s="254" t="s">
        <v>557</v>
      </c>
      <c r="BI391" s="249">
        <v>0</v>
      </c>
      <c r="BJ391" s="309" t="s">
        <v>557</v>
      </c>
      <c r="BK391" s="307" t="s">
        <v>557</v>
      </c>
      <c r="BL391" s="319" t="s">
        <v>557</v>
      </c>
      <c r="BM391" s="320" t="s">
        <v>556</v>
      </c>
      <c r="BN391" s="321" t="s">
        <v>1781</v>
      </c>
      <c r="BO391" s="145" t="s">
        <v>557</v>
      </c>
      <c r="BP391" s="14" t="s">
        <v>557</v>
      </c>
      <c r="BQ391" s="14" t="s">
        <v>557</v>
      </c>
      <c r="BR391" s="72"/>
    </row>
    <row r="392" spans="1:70" s="56" customFormat="1" ht="13.95" customHeight="1" x14ac:dyDescent="0.3">
      <c r="A392" s="56" t="s">
        <v>459</v>
      </c>
      <c r="B392" s="57" t="s">
        <v>462</v>
      </c>
      <c r="C392" s="55" t="s">
        <v>206</v>
      </c>
      <c r="D392" s="58">
        <v>4</v>
      </c>
      <c r="E392" s="59" t="s">
        <v>627</v>
      </c>
      <c r="F392" s="60" t="s">
        <v>453</v>
      </c>
      <c r="G392" s="61" t="s">
        <v>113</v>
      </c>
      <c r="H392" s="61" t="s">
        <v>113</v>
      </c>
      <c r="I392" s="62" t="s">
        <v>113</v>
      </c>
      <c r="J392" s="63" t="s">
        <v>2370</v>
      </c>
      <c r="K392" s="99" t="s">
        <v>1190</v>
      </c>
      <c r="L392" s="130">
        <v>493591195</v>
      </c>
      <c r="M392" s="109" t="s">
        <v>564</v>
      </c>
      <c r="N392" s="12" t="s">
        <v>1189</v>
      </c>
      <c r="O392" s="100"/>
      <c r="P392" s="131">
        <v>731613045</v>
      </c>
      <c r="Q392" s="67"/>
      <c r="R392" s="68"/>
      <c r="S392" s="99"/>
      <c r="T392" s="65"/>
      <c r="U392" s="170">
        <f>48000+350000</f>
        <v>398000</v>
      </c>
      <c r="V392" s="48">
        <f t="shared" si="92"/>
        <v>1206.060606060606</v>
      </c>
      <c r="W392" s="171">
        <f t="shared" si="93"/>
        <v>526.12828408812254</v>
      </c>
      <c r="X392" s="69">
        <v>5000</v>
      </c>
      <c r="Y392" s="48">
        <f t="shared" si="94"/>
        <v>15.151515151515152</v>
      </c>
      <c r="Z392" s="137">
        <f t="shared" si="95"/>
        <v>6.6096518101522923</v>
      </c>
      <c r="AA392" s="69">
        <v>300000</v>
      </c>
      <c r="AB392" s="48">
        <f t="shared" si="96"/>
        <v>909.09090909090912</v>
      </c>
      <c r="AC392" s="137">
        <f t="shared" si="97"/>
        <v>396.57910860913756</v>
      </c>
      <c r="AD392" s="70">
        <f t="shared" si="98"/>
        <v>703000</v>
      </c>
      <c r="AE392" s="71">
        <f t="shared" si="99"/>
        <v>2130.3030303030305</v>
      </c>
      <c r="AF392" s="193">
        <f t="shared" si="100"/>
        <v>929.31704450741233</v>
      </c>
      <c r="AG392" s="185">
        <f t="shared" si="101"/>
        <v>4.2865853658536589E-2</v>
      </c>
      <c r="AH392" s="180">
        <f t="shared" si="91"/>
        <v>0.29414225941422595</v>
      </c>
      <c r="AI392" s="189">
        <v>330</v>
      </c>
      <c r="AJ392" s="125">
        <v>756.46950000000004</v>
      </c>
      <c r="AK392" s="149">
        <v>205</v>
      </c>
      <c r="AL392" s="221">
        <v>112</v>
      </c>
      <c r="AM392" s="216">
        <v>95.934959349593498</v>
      </c>
      <c r="AN392" s="213">
        <v>20.283018867924529</v>
      </c>
      <c r="AO392" s="127">
        <v>3.28</v>
      </c>
      <c r="AP392" s="133">
        <v>0.47799999999999998</v>
      </c>
      <c r="AQ392" s="224">
        <f t="shared" si="102"/>
        <v>1.1301369863013699</v>
      </c>
      <c r="AR392" s="158">
        <v>292</v>
      </c>
      <c r="AS392" s="229">
        <f t="shared" si="103"/>
        <v>0.4059040590405904</v>
      </c>
      <c r="AT392" s="230">
        <v>813</v>
      </c>
      <c r="AU392" s="203">
        <v>10.606060606060606</v>
      </c>
      <c r="AV392" s="204">
        <v>66.666666666666657</v>
      </c>
      <c r="AW392" s="205">
        <v>22.727272727272727</v>
      </c>
      <c r="AX392" s="123">
        <v>2.3584999999999998</v>
      </c>
      <c r="AY392" s="281">
        <v>5.6451612903225801</v>
      </c>
      <c r="AZ392" s="282">
        <v>45.161290322580641</v>
      </c>
      <c r="BA392" s="283">
        <f t="shared" si="104"/>
        <v>49.193548387096783</v>
      </c>
      <c r="BB392" s="234">
        <v>50</v>
      </c>
      <c r="BC392" s="20">
        <v>1998</v>
      </c>
      <c r="BD392" s="263" t="s">
        <v>556</v>
      </c>
      <c r="BE392" s="262" t="s">
        <v>557</v>
      </c>
      <c r="BF392" s="260" t="s">
        <v>557</v>
      </c>
      <c r="BG392" s="256">
        <v>0</v>
      </c>
      <c r="BH392" s="248" t="s">
        <v>556</v>
      </c>
      <c r="BI392" s="249">
        <v>5.3380782918149468</v>
      </c>
      <c r="BJ392" s="309" t="s">
        <v>557</v>
      </c>
      <c r="BK392" s="307" t="s">
        <v>557</v>
      </c>
      <c r="BL392" s="319" t="s">
        <v>1728</v>
      </c>
      <c r="BM392" s="320" t="s">
        <v>556</v>
      </c>
      <c r="BN392" s="321" t="s">
        <v>557</v>
      </c>
      <c r="BO392" s="145" t="s">
        <v>557</v>
      </c>
      <c r="BP392" s="14" t="s">
        <v>556</v>
      </c>
      <c r="BQ392" s="14" t="s">
        <v>556</v>
      </c>
    </row>
    <row r="393" spans="1:70" s="72" customFormat="1" ht="13.95" customHeight="1" x14ac:dyDescent="0.3">
      <c r="A393" s="56" t="s">
        <v>459</v>
      </c>
      <c r="B393" s="57" t="s">
        <v>462</v>
      </c>
      <c r="C393" s="55" t="s">
        <v>207</v>
      </c>
      <c r="D393" s="58">
        <v>2</v>
      </c>
      <c r="E393" s="59" t="s">
        <v>628</v>
      </c>
      <c r="F393" s="60" t="s">
        <v>453</v>
      </c>
      <c r="G393" s="61" t="s">
        <v>113</v>
      </c>
      <c r="H393" s="61" t="s">
        <v>113</v>
      </c>
      <c r="I393" s="62" t="s">
        <v>113</v>
      </c>
      <c r="J393" s="63" t="s">
        <v>2372</v>
      </c>
      <c r="K393" s="99" t="s">
        <v>2508</v>
      </c>
      <c r="L393" s="130">
        <v>493597208</v>
      </c>
      <c r="M393" s="109" t="s">
        <v>564</v>
      </c>
      <c r="N393" s="12" t="s">
        <v>1191</v>
      </c>
      <c r="O393" s="100" t="s">
        <v>2371</v>
      </c>
      <c r="P393" s="131">
        <v>777231605</v>
      </c>
      <c r="Q393" s="67"/>
      <c r="R393" s="68"/>
      <c r="S393" s="99"/>
      <c r="T393" s="65"/>
      <c r="U393" s="170">
        <v>0</v>
      </c>
      <c r="V393" s="48">
        <f t="shared" si="92"/>
        <v>0</v>
      </c>
      <c r="W393" s="171">
        <f t="shared" si="93"/>
        <v>0</v>
      </c>
      <c r="X393" s="69">
        <v>0</v>
      </c>
      <c r="Y393" s="48">
        <f t="shared" si="94"/>
        <v>0</v>
      </c>
      <c r="Z393" s="137">
        <f t="shared" si="95"/>
        <v>0</v>
      </c>
      <c r="AA393" s="69">
        <v>400000</v>
      </c>
      <c r="AB393" s="48">
        <f t="shared" si="96"/>
        <v>1408.4507042253522</v>
      </c>
      <c r="AC393" s="137">
        <f t="shared" si="97"/>
        <v>592.77780272384371</v>
      </c>
      <c r="AD393" s="70">
        <f t="shared" si="98"/>
        <v>400000</v>
      </c>
      <c r="AE393" s="71">
        <f t="shared" si="99"/>
        <v>1408.4507042253522</v>
      </c>
      <c r="AF393" s="193">
        <f t="shared" si="100"/>
        <v>592.77780272384371</v>
      </c>
      <c r="AG393" s="185">
        <f t="shared" si="101"/>
        <v>1.292824822236587E-2</v>
      </c>
      <c r="AH393" s="180">
        <f t="shared" ref="AH393:AH424" si="105">IF(AD393=0,0,1/(AP393*5000000/AD393))</f>
        <v>1.9436345966958212E-2</v>
      </c>
      <c r="AI393" s="189">
        <v>284</v>
      </c>
      <c r="AJ393" s="125">
        <v>674.78909999999996</v>
      </c>
      <c r="AK393" s="149">
        <v>141</v>
      </c>
      <c r="AL393" s="221">
        <v>72</v>
      </c>
      <c r="AM393" s="216">
        <v>86.458333333333343</v>
      </c>
      <c r="AN393" s="213">
        <v>21.705426356589143</v>
      </c>
      <c r="AO393" s="127">
        <v>6.1879999999999997</v>
      </c>
      <c r="AP393" s="133">
        <v>4.1159999999999997</v>
      </c>
      <c r="AQ393" s="224">
        <f t="shared" si="102"/>
        <v>1.2347826086956522</v>
      </c>
      <c r="AR393" s="158">
        <v>230</v>
      </c>
      <c r="AS393" s="229">
        <f t="shared" si="103"/>
        <v>0.6269315673289183</v>
      </c>
      <c r="AT393" s="230">
        <v>453</v>
      </c>
      <c r="AU393" s="203">
        <v>17.6056338028169</v>
      </c>
      <c r="AV393" s="204">
        <v>66.901408450704224</v>
      </c>
      <c r="AW393" s="205">
        <v>15.492957746478872</v>
      </c>
      <c r="AX393" s="123">
        <v>3.8462000000000001</v>
      </c>
      <c r="AY393" s="281">
        <v>8.695652173913043</v>
      </c>
      <c r="AZ393" s="282">
        <v>35.652173913043477</v>
      </c>
      <c r="BA393" s="283">
        <f t="shared" si="104"/>
        <v>55.652173913043477</v>
      </c>
      <c r="BB393" s="234">
        <v>70.769230769230774</v>
      </c>
      <c r="BC393" s="20">
        <v>2002</v>
      </c>
      <c r="BD393" s="263" t="s">
        <v>556</v>
      </c>
      <c r="BE393" s="261" t="s">
        <v>556</v>
      </c>
      <c r="BF393" s="260" t="s">
        <v>557</v>
      </c>
      <c r="BG393" s="256">
        <v>14.960629921259844</v>
      </c>
      <c r="BH393" s="254" t="s">
        <v>557</v>
      </c>
      <c r="BI393" s="249">
        <v>0</v>
      </c>
      <c r="BJ393" s="309" t="s">
        <v>557</v>
      </c>
      <c r="BK393" s="307" t="s">
        <v>557</v>
      </c>
      <c r="BL393" s="319" t="s">
        <v>1728</v>
      </c>
      <c r="BM393" s="320" t="s">
        <v>556</v>
      </c>
      <c r="BN393" s="321" t="s">
        <v>1838</v>
      </c>
      <c r="BO393" s="145" t="s">
        <v>998</v>
      </c>
      <c r="BP393" s="14" t="s">
        <v>556</v>
      </c>
      <c r="BQ393" s="14" t="s">
        <v>557</v>
      </c>
      <c r="BR393" s="56"/>
    </row>
    <row r="394" spans="1:70" s="72" customFormat="1" ht="13.95" customHeight="1" x14ac:dyDescent="0.3">
      <c r="A394" s="56" t="s">
        <v>461</v>
      </c>
      <c r="B394" s="77" t="s">
        <v>464</v>
      </c>
      <c r="C394" s="74" t="s">
        <v>379</v>
      </c>
      <c r="D394" s="58">
        <v>2</v>
      </c>
      <c r="E394" s="59" t="s">
        <v>740</v>
      </c>
      <c r="F394" s="60" t="s">
        <v>456</v>
      </c>
      <c r="G394" s="75" t="s">
        <v>378</v>
      </c>
      <c r="H394" s="75" t="s">
        <v>379</v>
      </c>
      <c r="I394" s="76" t="s">
        <v>379</v>
      </c>
      <c r="J394" s="63" t="s">
        <v>2375</v>
      </c>
      <c r="K394" s="99" t="s">
        <v>2373</v>
      </c>
      <c r="L394" s="130">
        <v>499781533</v>
      </c>
      <c r="M394" s="109" t="s">
        <v>564</v>
      </c>
      <c r="N394" s="12" t="s">
        <v>2511</v>
      </c>
      <c r="O394" s="100" t="s">
        <v>1653</v>
      </c>
      <c r="P394" s="131" t="s">
        <v>2374</v>
      </c>
      <c r="Q394" s="84"/>
      <c r="R394" s="56"/>
      <c r="S394" s="105"/>
      <c r="T394" s="112"/>
      <c r="U394" s="172">
        <v>0</v>
      </c>
      <c r="V394" s="135">
        <f t="shared" si="92"/>
        <v>0</v>
      </c>
      <c r="W394" s="173">
        <f t="shared" si="93"/>
        <v>0</v>
      </c>
      <c r="X394" s="69">
        <f>1613617+36000+29000</f>
        <v>1678617</v>
      </c>
      <c r="Y394" s="48">
        <f t="shared" si="94"/>
        <v>295.37515396797465</v>
      </c>
      <c r="Z394" s="137">
        <f t="shared" si="95"/>
        <v>1097.2641688700301</v>
      </c>
      <c r="AA394" s="69">
        <v>400000</v>
      </c>
      <c r="AB394" s="48">
        <f t="shared" si="96"/>
        <v>70.385359845152209</v>
      </c>
      <c r="AC394" s="137">
        <f t="shared" si="97"/>
        <v>261.46861824228637</v>
      </c>
      <c r="AD394" s="70">
        <f t="shared" si="98"/>
        <v>2078617</v>
      </c>
      <c r="AE394" s="71">
        <f t="shared" si="99"/>
        <v>365.76051381312686</v>
      </c>
      <c r="AF394" s="193">
        <f t="shared" si="100"/>
        <v>1358.7327871123164</v>
      </c>
      <c r="AG394" s="185">
        <f t="shared" si="101"/>
        <v>4.7805179273705751E-3</v>
      </c>
      <c r="AH394" s="180">
        <f t="shared" si="105"/>
        <v>3.6124730622175881E-2</v>
      </c>
      <c r="AI394" s="189">
        <v>5683</v>
      </c>
      <c r="AJ394" s="126">
        <v>1529.8203000000001</v>
      </c>
      <c r="AK394" s="150">
        <v>1411</v>
      </c>
      <c r="AL394" s="221">
        <v>948</v>
      </c>
      <c r="AM394" s="216">
        <v>39.563606422396049</v>
      </c>
      <c r="AN394" s="213">
        <v>0.82172204358699541</v>
      </c>
      <c r="AO394" s="128">
        <v>86.962000000000003</v>
      </c>
      <c r="AP394" s="134">
        <v>11.507999999999999</v>
      </c>
      <c r="AQ394" s="224">
        <f t="shared" si="102"/>
        <v>0.92541931281550238</v>
      </c>
      <c r="AR394" s="158">
        <v>6141</v>
      </c>
      <c r="AS394" s="229">
        <f t="shared" si="103"/>
        <v>0.71854848906309265</v>
      </c>
      <c r="AT394" s="230">
        <v>7909</v>
      </c>
      <c r="AU394" s="203">
        <v>15.185641386591589</v>
      </c>
      <c r="AV394" s="204">
        <v>62.871722681682215</v>
      </c>
      <c r="AW394" s="205">
        <v>21.942635931726201</v>
      </c>
      <c r="AX394" s="123">
        <v>7.0430000000000001</v>
      </c>
      <c r="AY394" s="281">
        <v>1.9963702359346642</v>
      </c>
      <c r="AZ394" s="282">
        <v>44.147005444646098</v>
      </c>
      <c r="BA394" s="283">
        <f t="shared" si="104"/>
        <v>53.85662431941924</v>
      </c>
      <c r="BB394" s="234">
        <v>61.871227364185117</v>
      </c>
      <c r="BC394" s="20">
        <v>2013</v>
      </c>
      <c r="BD394" s="263" t="s">
        <v>556</v>
      </c>
      <c r="BE394" s="261" t="s">
        <v>556</v>
      </c>
      <c r="BF394" s="259" t="s">
        <v>556</v>
      </c>
      <c r="BG394" s="256">
        <v>80.3408071748879</v>
      </c>
      <c r="BH394" s="248" t="s">
        <v>556</v>
      </c>
      <c r="BI394" s="249">
        <v>52.441655226515003</v>
      </c>
      <c r="BJ394" s="308" t="s">
        <v>556</v>
      </c>
      <c r="BK394" s="307" t="s">
        <v>556</v>
      </c>
      <c r="BL394" s="319" t="s">
        <v>1728</v>
      </c>
      <c r="BM394" s="320" t="s">
        <v>556</v>
      </c>
      <c r="BN394" s="321" t="s">
        <v>2376</v>
      </c>
      <c r="BO394" s="145" t="s">
        <v>556</v>
      </c>
      <c r="BP394" s="14" t="s">
        <v>556</v>
      </c>
      <c r="BQ394" s="14" t="s">
        <v>557</v>
      </c>
      <c r="BR394" s="56"/>
    </row>
    <row r="395" spans="1:70" s="72" customFormat="1" ht="13.95" customHeight="1" x14ac:dyDescent="0.3">
      <c r="A395" s="56" t="s">
        <v>459</v>
      </c>
      <c r="B395" s="57" t="s">
        <v>462</v>
      </c>
      <c r="C395" s="55" t="s">
        <v>104</v>
      </c>
      <c r="D395" s="58">
        <v>1</v>
      </c>
      <c r="E395" s="59"/>
      <c r="F395" s="60" t="s">
        <v>452</v>
      </c>
      <c r="G395" s="61" t="s">
        <v>11</v>
      </c>
      <c r="H395" s="61" t="s">
        <v>11</v>
      </c>
      <c r="I395" s="62" t="s">
        <v>11</v>
      </c>
      <c r="J395" s="63" t="s">
        <v>2378</v>
      </c>
      <c r="K395" s="99" t="s">
        <v>2377</v>
      </c>
      <c r="L395" s="130">
        <v>495588120</v>
      </c>
      <c r="M395" s="109" t="s">
        <v>564</v>
      </c>
      <c r="N395" s="12" t="s">
        <v>981</v>
      </c>
      <c r="O395" s="100"/>
      <c r="P395" s="131">
        <v>725081335</v>
      </c>
      <c r="Q395" s="67"/>
      <c r="R395" s="68"/>
      <c r="S395" s="99"/>
      <c r="T395" s="65"/>
      <c r="U395" s="170">
        <f>69258+61200</f>
        <v>130458</v>
      </c>
      <c r="V395" s="48">
        <f t="shared" si="92"/>
        <v>391.76576576576576</v>
      </c>
      <c r="W395" s="171">
        <f t="shared" si="93"/>
        <v>578.69478062181145</v>
      </c>
      <c r="X395" s="69">
        <v>0</v>
      </c>
      <c r="Y395" s="48">
        <f t="shared" si="94"/>
        <v>0</v>
      </c>
      <c r="Z395" s="137">
        <f t="shared" si="95"/>
        <v>0</v>
      </c>
      <c r="AA395" s="69">
        <v>0</v>
      </c>
      <c r="AB395" s="48">
        <f t="shared" si="96"/>
        <v>0</v>
      </c>
      <c r="AC395" s="137">
        <f t="shared" si="97"/>
        <v>0</v>
      </c>
      <c r="AD395" s="70">
        <f t="shared" si="98"/>
        <v>130458</v>
      </c>
      <c r="AE395" s="71">
        <f t="shared" si="99"/>
        <v>391.76576576576576</v>
      </c>
      <c r="AF395" s="193">
        <f t="shared" si="100"/>
        <v>578.69478062181145</v>
      </c>
      <c r="AG395" s="185">
        <f t="shared" si="101"/>
        <v>5.5954535706626641E-3</v>
      </c>
      <c r="AH395" s="180">
        <f t="shared" si="105"/>
        <v>1.0124796274738068E-2</v>
      </c>
      <c r="AI395" s="189">
        <v>333</v>
      </c>
      <c r="AJ395" s="125">
        <v>225.4349</v>
      </c>
      <c r="AK395" s="149">
        <v>105</v>
      </c>
      <c r="AL395" s="221">
        <v>79</v>
      </c>
      <c r="AM395" s="216">
        <v>94.495412844036693</v>
      </c>
      <c r="AN395" s="213">
        <v>1.5151515151515151</v>
      </c>
      <c r="AO395" s="127">
        <v>4.6630000000000003</v>
      </c>
      <c r="AP395" s="133">
        <v>2.577</v>
      </c>
      <c r="AQ395" s="224">
        <f t="shared" si="102"/>
        <v>1.2287822878228782</v>
      </c>
      <c r="AR395" s="158">
        <v>271</v>
      </c>
      <c r="AS395" s="229">
        <f t="shared" si="103"/>
        <v>1.1326530612244898</v>
      </c>
      <c r="AT395" s="230">
        <v>294</v>
      </c>
      <c r="AU395" s="203">
        <v>16.516516516516518</v>
      </c>
      <c r="AV395" s="204">
        <v>66.666666666666657</v>
      </c>
      <c r="AW395" s="205">
        <v>16.816816816816818</v>
      </c>
      <c r="AX395" s="123">
        <v>3.4782999999999999</v>
      </c>
      <c r="AY395" s="281">
        <v>5.7692307692307692</v>
      </c>
      <c r="AZ395" s="282">
        <v>33.333333333333329</v>
      </c>
      <c r="BA395" s="283">
        <f t="shared" si="104"/>
        <v>60.897435897435898</v>
      </c>
      <c r="BB395" s="234">
        <v>88.888888888888886</v>
      </c>
      <c r="BC395" s="20">
        <v>2005</v>
      </c>
      <c r="BD395" s="263" t="s">
        <v>556</v>
      </c>
      <c r="BE395" s="261" t="s">
        <v>556</v>
      </c>
      <c r="BF395" s="259" t="s">
        <v>556</v>
      </c>
      <c r="BG395" s="256">
        <v>80.421686746987959</v>
      </c>
      <c r="BH395" s="248" t="s">
        <v>556</v>
      </c>
      <c r="BI395" s="249">
        <v>45.230769230769226</v>
      </c>
      <c r="BJ395" s="309" t="s">
        <v>557</v>
      </c>
      <c r="BK395" s="307" t="s">
        <v>557</v>
      </c>
      <c r="BL395" s="319" t="s">
        <v>1728</v>
      </c>
      <c r="BM395" s="320" t="s">
        <v>556</v>
      </c>
      <c r="BN395" s="321" t="s">
        <v>1838</v>
      </c>
      <c r="BO395" s="145" t="s">
        <v>557</v>
      </c>
      <c r="BP395" s="14" t="s">
        <v>557</v>
      </c>
      <c r="BQ395" s="14" t="s">
        <v>557</v>
      </c>
      <c r="BR395" s="56"/>
    </row>
    <row r="396" spans="1:70" s="56" customFormat="1" ht="13.95" customHeight="1" x14ac:dyDescent="0.3">
      <c r="A396" s="3" t="s">
        <v>459</v>
      </c>
      <c r="B396" s="57" t="s">
        <v>462</v>
      </c>
      <c r="C396" s="55" t="s">
        <v>371</v>
      </c>
      <c r="D396" s="58">
        <v>2</v>
      </c>
      <c r="E396" s="59" t="s">
        <v>715</v>
      </c>
      <c r="F396" s="60" t="s">
        <v>455</v>
      </c>
      <c r="G396" s="61" t="s">
        <v>304</v>
      </c>
      <c r="H396" s="61" t="s">
        <v>304</v>
      </c>
      <c r="I396" s="62" t="s">
        <v>304</v>
      </c>
      <c r="J396" s="117" t="s">
        <v>2379</v>
      </c>
      <c r="K396" s="100" t="s">
        <v>1680</v>
      </c>
      <c r="L396" s="131">
        <v>494623440</v>
      </c>
      <c r="M396" s="109" t="s">
        <v>564</v>
      </c>
      <c r="N396" s="12" t="s">
        <v>1522</v>
      </c>
      <c r="O396" s="100"/>
      <c r="P396" s="131">
        <v>607061877</v>
      </c>
      <c r="Q396" s="82"/>
      <c r="R396" s="80"/>
      <c r="S396" s="116"/>
      <c r="T396" s="241"/>
      <c r="U396" s="170">
        <v>0</v>
      </c>
      <c r="V396" s="48">
        <f t="shared" si="92"/>
        <v>0</v>
      </c>
      <c r="W396" s="171">
        <f t="shared" si="93"/>
        <v>0</v>
      </c>
      <c r="X396" s="69">
        <v>0</v>
      </c>
      <c r="Y396" s="48">
        <f t="shared" si="94"/>
        <v>0</v>
      </c>
      <c r="Z396" s="137">
        <f t="shared" si="95"/>
        <v>0</v>
      </c>
      <c r="AA396" s="69">
        <v>0</v>
      </c>
      <c r="AB396" s="48">
        <f t="shared" si="96"/>
        <v>0</v>
      </c>
      <c r="AC396" s="137">
        <f t="shared" si="97"/>
        <v>0</v>
      </c>
      <c r="AD396" s="70">
        <f t="shared" si="98"/>
        <v>0</v>
      </c>
      <c r="AE396" s="71">
        <f t="shared" si="99"/>
        <v>0</v>
      </c>
      <c r="AF396" s="193">
        <f t="shared" si="100"/>
        <v>0</v>
      </c>
      <c r="AG396" s="185">
        <f t="shared" si="101"/>
        <v>0</v>
      </c>
      <c r="AH396" s="180">
        <f t="shared" si="105"/>
        <v>0</v>
      </c>
      <c r="AI396" s="189">
        <v>300</v>
      </c>
      <c r="AJ396" s="125">
        <v>605.24480000000005</v>
      </c>
      <c r="AK396" s="149">
        <v>120</v>
      </c>
      <c r="AL396" s="221">
        <v>81</v>
      </c>
      <c r="AM396" s="216">
        <v>87.5</v>
      </c>
      <c r="AN396" s="213">
        <v>14.893617021276597</v>
      </c>
      <c r="AO396" s="127">
        <v>2.698</v>
      </c>
      <c r="AP396" s="133">
        <v>0.19900000000000001</v>
      </c>
      <c r="AQ396" s="224">
        <f t="shared" si="102"/>
        <v>1.098901098901099</v>
      </c>
      <c r="AR396" s="158">
        <v>273</v>
      </c>
      <c r="AS396" s="229">
        <f t="shared" si="103"/>
        <v>0.6741573033707865</v>
      </c>
      <c r="AT396" s="230">
        <v>445</v>
      </c>
      <c r="AU396" s="203">
        <v>14.000000000000002</v>
      </c>
      <c r="AV396" s="204">
        <v>66.666666666666671</v>
      </c>
      <c r="AW396" s="205">
        <v>19.333333333333332</v>
      </c>
      <c r="AX396" s="123">
        <v>1.5152000000000001</v>
      </c>
      <c r="AY396" s="281">
        <v>10.526315789473683</v>
      </c>
      <c r="AZ396" s="282">
        <v>37.593984962406012</v>
      </c>
      <c r="BA396" s="283">
        <f t="shared" si="104"/>
        <v>51.879699248120303</v>
      </c>
      <c r="BB396" s="234">
        <v>92.982456140350891</v>
      </c>
      <c r="BC396" s="19">
        <v>2008</v>
      </c>
      <c r="BD396" s="264" t="s">
        <v>557</v>
      </c>
      <c r="BE396" s="262" t="s">
        <v>557</v>
      </c>
      <c r="BF396" s="260" t="s">
        <v>557</v>
      </c>
      <c r="BG396" s="256">
        <v>0</v>
      </c>
      <c r="BH396" s="248" t="s">
        <v>556</v>
      </c>
      <c r="BI396" s="249">
        <v>25.886524822695034</v>
      </c>
      <c r="BJ396" s="308" t="s">
        <v>556</v>
      </c>
      <c r="BK396" s="307" t="s">
        <v>557</v>
      </c>
      <c r="BL396" s="319" t="s">
        <v>1728</v>
      </c>
      <c r="BM396" s="320" t="s">
        <v>556</v>
      </c>
      <c r="BN396" s="321" t="s">
        <v>557</v>
      </c>
      <c r="BO396" s="21" t="s">
        <v>557</v>
      </c>
      <c r="BP396" s="10" t="s">
        <v>557</v>
      </c>
      <c r="BQ396" s="10" t="s">
        <v>557</v>
      </c>
    </row>
    <row r="397" spans="1:70" s="56" customFormat="1" ht="13.95" customHeight="1" x14ac:dyDescent="0.3">
      <c r="A397" s="3" t="s">
        <v>459</v>
      </c>
      <c r="B397" s="57" t="s">
        <v>462</v>
      </c>
      <c r="C397" s="55" t="s">
        <v>208</v>
      </c>
      <c r="D397" s="58">
        <v>1</v>
      </c>
      <c r="E397" s="59"/>
      <c r="F397" s="60" t="s">
        <v>453</v>
      </c>
      <c r="G397" s="61" t="s">
        <v>113</v>
      </c>
      <c r="H397" s="61" t="s">
        <v>113</v>
      </c>
      <c r="I397" s="62" t="s">
        <v>113</v>
      </c>
      <c r="J397" s="117" t="s">
        <v>2380</v>
      </c>
      <c r="K397" s="99" t="s">
        <v>2381</v>
      </c>
      <c r="L397" s="131">
        <v>493533325</v>
      </c>
      <c r="M397" s="109" t="s">
        <v>564</v>
      </c>
      <c r="N397" s="12" t="s">
        <v>1192</v>
      </c>
      <c r="O397" s="100" t="s">
        <v>1193</v>
      </c>
      <c r="P397" s="131">
        <v>725086517</v>
      </c>
      <c r="Q397" s="67"/>
      <c r="R397" s="12"/>
      <c r="S397" s="100"/>
      <c r="T397" s="66"/>
      <c r="U397" s="170">
        <v>0</v>
      </c>
      <c r="V397" s="48">
        <f t="shared" si="92"/>
        <v>0</v>
      </c>
      <c r="W397" s="171">
        <f t="shared" si="93"/>
        <v>0</v>
      </c>
      <c r="X397" s="69">
        <v>146100</v>
      </c>
      <c r="Y397" s="48">
        <f t="shared" si="94"/>
        <v>102.67041461700633</v>
      </c>
      <c r="Z397" s="137">
        <f t="shared" si="95"/>
        <v>1629.2038980459588</v>
      </c>
      <c r="AA397" s="69">
        <v>2500000</v>
      </c>
      <c r="AB397" s="48">
        <f t="shared" si="96"/>
        <v>1756.8517217146873</v>
      </c>
      <c r="AC397" s="137">
        <f t="shared" si="97"/>
        <v>27878.232341648851</v>
      </c>
      <c r="AD397" s="70">
        <f t="shared" si="98"/>
        <v>2646100</v>
      </c>
      <c r="AE397" s="71">
        <f t="shared" si="99"/>
        <v>1859.5221363316937</v>
      </c>
      <c r="AF397" s="193">
        <f t="shared" si="100"/>
        <v>29507.436239694809</v>
      </c>
      <c r="AG397" s="185">
        <f t="shared" si="101"/>
        <v>3.5461002412221922E-2</v>
      </c>
      <c r="AH397" s="180">
        <f t="shared" si="105"/>
        <v>0.29815211267605635</v>
      </c>
      <c r="AI397" s="189">
        <v>1423</v>
      </c>
      <c r="AJ397" s="125">
        <v>89.675700000000006</v>
      </c>
      <c r="AK397" s="149">
        <v>200</v>
      </c>
      <c r="AL397" s="221">
        <v>168</v>
      </c>
      <c r="AM397" s="216">
        <v>31.115459882583167</v>
      </c>
      <c r="AN397" s="213">
        <v>1.4519056261343011</v>
      </c>
      <c r="AO397" s="127">
        <v>14.923999999999999</v>
      </c>
      <c r="AP397" s="133">
        <v>1.7749999999999999</v>
      </c>
      <c r="AQ397" s="224">
        <f t="shared" si="102"/>
        <v>0.89949431099873578</v>
      </c>
      <c r="AR397" s="158">
        <v>1582</v>
      </c>
      <c r="AS397" s="229">
        <f t="shared" si="103"/>
        <v>1.3978388998035363</v>
      </c>
      <c r="AT397" s="230">
        <v>1018</v>
      </c>
      <c r="AU397" s="203">
        <v>14.406184118060436</v>
      </c>
      <c r="AV397" s="204">
        <v>68.868587491215735</v>
      </c>
      <c r="AW397" s="205">
        <v>16.725228390723824</v>
      </c>
      <c r="AX397" s="123">
        <v>2.3692000000000002</v>
      </c>
      <c r="AY397" s="281">
        <v>0.85616438356164382</v>
      </c>
      <c r="AZ397" s="282">
        <v>55.393835616438359</v>
      </c>
      <c r="BA397" s="283">
        <f t="shared" si="104"/>
        <v>43.749999999999993</v>
      </c>
      <c r="BB397" s="234">
        <v>43.992248062015506</v>
      </c>
      <c r="BC397" s="19">
        <v>2009</v>
      </c>
      <c r="BD397" s="263" t="s">
        <v>556</v>
      </c>
      <c r="BE397" s="261" t="s">
        <v>556</v>
      </c>
      <c r="BF397" s="259" t="s">
        <v>556</v>
      </c>
      <c r="BG397" s="256">
        <v>96.182634730538922</v>
      </c>
      <c r="BH397" s="248" t="s">
        <v>556</v>
      </c>
      <c r="BI397" s="249">
        <v>94.239631336405523</v>
      </c>
      <c r="BJ397" s="308" t="s">
        <v>556</v>
      </c>
      <c r="BK397" s="307" t="s">
        <v>1707</v>
      </c>
      <c r="BL397" s="319" t="s">
        <v>1728</v>
      </c>
      <c r="BM397" s="320" t="s">
        <v>556</v>
      </c>
      <c r="BN397" s="321" t="s">
        <v>1996</v>
      </c>
      <c r="BO397" s="21" t="s">
        <v>556</v>
      </c>
      <c r="BP397" s="10" t="s">
        <v>557</v>
      </c>
      <c r="BQ397" s="10" t="s">
        <v>557</v>
      </c>
    </row>
    <row r="398" spans="1:70" s="72" customFormat="1" ht="13.95" customHeight="1" x14ac:dyDescent="0.3">
      <c r="A398" s="56" t="s">
        <v>461</v>
      </c>
      <c r="B398" s="77" t="s">
        <v>464</v>
      </c>
      <c r="C398" s="74" t="s">
        <v>336</v>
      </c>
      <c r="D398" s="58">
        <v>3</v>
      </c>
      <c r="E398" s="59" t="s">
        <v>1222</v>
      </c>
      <c r="F398" s="60" t="s">
        <v>455</v>
      </c>
      <c r="G398" s="75" t="s">
        <v>528</v>
      </c>
      <c r="H398" s="75" t="s">
        <v>336</v>
      </c>
      <c r="I398" s="76" t="s">
        <v>336</v>
      </c>
      <c r="J398" s="63" t="s">
        <v>2383</v>
      </c>
      <c r="K398" s="99" t="s">
        <v>2382</v>
      </c>
      <c r="L398" s="130">
        <v>494548111</v>
      </c>
      <c r="M398" s="109" t="s">
        <v>564</v>
      </c>
      <c r="N398" s="12" t="s">
        <v>1523</v>
      </c>
      <c r="O398" s="100" t="s">
        <v>1524</v>
      </c>
      <c r="P398" s="130">
        <v>494548110</v>
      </c>
      <c r="Q398" s="84"/>
      <c r="R398" s="56"/>
      <c r="S398" s="105"/>
      <c r="T398" s="112"/>
      <c r="U398" s="172">
        <v>0</v>
      </c>
      <c r="V398" s="135">
        <f t="shared" si="92"/>
        <v>0</v>
      </c>
      <c r="W398" s="173">
        <f t="shared" si="93"/>
        <v>0</v>
      </c>
      <c r="X398" s="69">
        <v>209805</v>
      </c>
      <c r="Y398" s="48">
        <f t="shared" si="94"/>
        <v>45.798952193844137</v>
      </c>
      <c r="Z398" s="137">
        <f t="shared" si="95"/>
        <v>99.744246253832316</v>
      </c>
      <c r="AA398" s="69">
        <v>0</v>
      </c>
      <c r="AB398" s="48">
        <f t="shared" si="96"/>
        <v>0</v>
      </c>
      <c r="AC398" s="137">
        <f t="shared" si="97"/>
        <v>0</v>
      </c>
      <c r="AD398" s="70">
        <f t="shared" si="98"/>
        <v>209805</v>
      </c>
      <c r="AE398" s="71">
        <f t="shared" si="99"/>
        <v>45.798952193844137</v>
      </c>
      <c r="AF398" s="193">
        <f t="shared" si="100"/>
        <v>99.744246253832316</v>
      </c>
      <c r="AG398" s="185">
        <f t="shared" si="101"/>
        <v>5.0287022278681253E-4</v>
      </c>
      <c r="AH398" s="180">
        <f t="shared" si="105"/>
        <v>1.4839793464422127E-3</v>
      </c>
      <c r="AI398" s="189">
        <v>4581</v>
      </c>
      <c r="AJ398" s="126">
        <v>2103.4295999999999</v>
      </c>
      <c r="AK398" s="150">
        <v>1298</v>
      </c>
      <c r="AL398" s="221">
        <v>881</v>
      </c>
      <c r="AM398" s="216">
        <v>46.991869918699187</v>
      </c>
      <c r="AN398" s="213">
        <v>2.63653483992467</v>
      </c>
      <c r="AO398" s="128">
        <v>83.442999999999998</v>
      </c>
      <c r="AP398" s="134">
        <v>28.276</v>
      </c>
      <c r="AQ398" s="224">
        <f t="shared" si="102"/>
        <v>0.91711711711711708</v>
      </c>
      <c r="AR398" s="158">
        <v>4995</v>
      </c>
      <c r="AS398" s="229">
        <f t="shared" si="103"/>
        <v>0.99890972525076316</v>
      </c>
      <c r="AT398" s="230">
        <v>4586</v>
      </c>
      <c r="AU398" s="203">
        <v>15.411482209124644</v>
      </c>
      <c r="AV398" s="204">
        <v>64.418249290547919</v>
      </c>
      <c r="AW398" s="205">
        <v>20.170268500327442</v>
      </c>
      <c r="AX398" s="123">
        <v>3.8679999999999999</v>
      </c>
      <c r="AY398" s="281">
        <v>1.2748597654258031</v>
      </c>
      <c r="AZ398" s="282">
        <v>46.965833758286593</v>
      </c>
      <c r="BA398" s="283">
        <f t="shared" si="104"/>
        <v>51.759306476287605</v>
      </c>
      <c r="BB398" s="234">
        <v>45.943562610229279</v>
      </c>
      <c r="BC398" s="20">
        <v>2009</v>
      </c>
      <c r="BD398" s="263" t="s">
        <v>556</v>
      </c>
      <c r="BE398" s="261" t="s">
        <v>556</v>
      </c>
      <c r="BF398" s="259" t="s">
        <v>556</v>
      </c>
      <c r="BG398" s="256">
        <v>68.564356435643575</v>
      </c>
      <c r="BH398" s="248" t="s">
        <v>556</v>
      </c>
      <c r="BI398" s="249">
        <v>26.666666666666668</v>
      </c>
      <c r="BJ398" s="308" t="s">
        <v>556</v>
      </c>
      <c r="BK398" s="307" t="s">
        <v>556</v>
      </c>
      <c r="BL398" s="319" t="s">
        <v>1728</v>
      </c>
      <c r="BM398" s="320" t="s">
        <v>556</v>
      </c>
      <c r="BN398" s="321" t="s">
        <v>2384</v>
      </c>
      <c r="BO398" s="145" t="s">
        <v>556</v>
      </c>
      <c r="BP398" s="14" t="s">
        <v>556</v>
      </c>
      <c r="BQ398" s="14" t="s">
        <v>556</v>
      </c>
      <c r="BR398" s="56"/>
    </row>
    <row r="399" spans="1:70" s="56" customFormat="1" ht="13.95" customHeight="1" x14ac:dyDescent="0.3">
      <c r="A399" s="56" t="s">
        <v>459</v>
      </c>
      <c r="B399" s="57" t="s">
        <v>462</v>
      </c>
      <c r="C399" s="55" t="s">
        <v>284</v>
      </c>
      <c r="D399" s="58">
        <v>2</v>
      </c>
      <c r="E399" s="59" t="s">
        <v>666</v>
      </c>
      <c r="F399" s="60" t="s">
        <v>454</v>
      </c>
      <c r="G399" s="61" t="s">
        <v>242</v>
      </c>
      <c r="H399" s="61" t="s">
        <v>242</v>
      </c>
      <c r="I399" s="62" t="s">
        <v>242</v>
      </c>
      <c r="J399" s="63" t="s">
        <v>2385</v>
      </c>
      <c r="K399" s="99" t="s">
        <v>1368</v>
      </c>
      <c r="L399" s="130">
        <v>491880270</v>
      </c>
      <c r="M399" s="109" t="s">
        <v>564</v>
      </c>
      <c r="N399" s="12" t="s">
        <v>1367</v>
      </c>
      <c r="O399" s="100"/>
      <c r="P399" s="131">
        <v>603146372</v>
      </c>
      <c r="Q399" s="67"/>
      <c r="R399" s="68"/>
      <c r="S399" s="99"/>
      <c r="T399" s="65"/>
      <c r="U399" s="170">
        <v>400000</v>
      </c>
      <c r="V399" s="48">
        <f t="shared" si="92"/>
        <v>531.91489361702122</v>
      </c>
      <c r="W399" s="171">
        <f t="shared" si="93"/>
        <v>501.88306526085876</v>
      </c>
      <c r="X399" s="69">
        <v>103770</v>
      </c>
      <c r="Y399" s="48">
        <f t="shared" si="94"/>
        <v>137.99202127659575</v>
      </c>
      <c r="Z399" s="137">
        <f t="shared" si="95"/>
        <v>130.20101420529829</v>
      </c>
      <c r="AA399" s="69">
        <v>0</v>
      </c>
      <c r="AB399" s="48">
        <f t="shared" si="96"/>
        <v>0</v>
      </c>
      <c r="AC399" s="137">
        <f t="shared" si="97"/>
        <v>0</v>
      </c>
      <c r="AD399" s="70">
        <f t="shared" si="98"/>
        <v>503770</v>
      </c>
      <c r="AE399" s="71">
        <f t="shared" si="99"/>
        <v>669.906914893617</v>
      </c>
      <c r="AF399" s="193">
        <f t="shared" si="100"/>
        <v>632.08407946615705</v>
      </c>
      <c r="AG399" s="185">
        <f t="shared" si="101"/>
        <v>8.5442672998643152E-3</v>
      </c>
      <c r="AH399" s="180">
        <f t="shared" si="105"/>
        <v>3.9434050880626223E-2</v>
      </c>
      <c r="AI399" s="189">
        <v>752</v>
      </c>
      <c r="AJ399" s="125">
        <v>796.99839999999995</v>
      </c>
      <c r="AK399" s="149">
        <v>288</v>
      </c>
      <c r="AL399" s="221">
        <v>208</v>
      </c>
      <c r="AM399" s="216">
        <v>86.79245283018868</v>
      </c>
      <c r="AN399" s="213">
        <v>6.666666666666667</v>
      </c>
      <c r="AO399" s="127">
        <v>11.792</v>
      </c>
      <c r="AP399" s="133">
        <v>2.5550000000000002</v>
      </c>
      <c r="AQ399" s="224">
        <f t="shared" si="102"/>
        <v>1.0898550724637681</v>
      </c>
      <c r="AR399" s="158">
        <v>690</v>
      </c>
      <c r="AS399" s="229">
        <f t="shared" si="103"/>
        <v>1.0301369863013699</v>
      </c>
      <c r="AT399" s="230">
        <v>730</v>
      </c>
      <c r="AU399" s="203">
        <v>13.031914893617023</v>
      </c>
      <c r="AV399" s="204">
        <v>69.0159574468085</v>
      </c>
      <c r="AW399" s="205">
        <v>17.952127659574469</v>
      </c>
      <c r="AX399" s="123">
        <v>4.1588000000000003</v>
      </c>
      <c r="AY399" s="281">
        <v>5.6657223796034</v>
      </c>
      <c r="AZ399" s="282">
        <v>33.994334277620396</v>
      </c>
      <c r="BA399" s="283">
        <f t="shared" si="104"/>
        <v>60.339943342776209</v>
      </c>
      <c r="BB399" s="234">
        <v>57.831325301204821</v>
      </c>
      <c r="BC399" s="20">
        <v>2000</v>
      </c>
      <c r="BD399" s="263" t="s">
        <v>556</v>
      </c>
      <c r="BE399" s="261" t="s">
        <v>556</v>
      </c>
      <c r="BF399" s="259" t="s">
        <v>556</v>
      </c>
      <c r="BG399" s="256">
        <v>92.41379310344827</v>
      </c>
      <c r="BH399" s="248" t="s">
        <v>556</v>
      </c>
      <c r="BI399" s="249">
        <v>87.89173789173789</v>
      </c>
      <c r="BJ399" s="308" t="s">
        <v>556</v>
      </c>
      <c r="BK399" s="307" t="s">
        <v>1707</v>
      </c>
      <c r="BL399" s="319" t="s">
        <v>1728</v>
      </c>
      <c r="BM399" s="320" t="s">
        <v>556</v>
      </c>
      <c r="BN399" s="321" t="s">
        <v>2386</v>
      </c>
      <c r="BO399" s="145" t="s">
        <v>556</v>
      </c>
      <c r="BP399" s="14" t="s">
        <v>556</v>
      </c>
      <c r="BQ399" s="14" t="s">
        <v>557</v>
      </c>
    </row>
    <row r="400" spans="1:70" s="56" customFormat="1" ht="13.95" customHeight="1" x14ac:dyDescent="0.3">
      <c r="A400" s="56" t="s">
        <v>459</v>
      </c>
      <c r="B400" s="57" t="s">
        <v>462</v>
      </c>
      <c r="C400" s="55" t="s">
        <v>209</v>
      </c>
      <c r="D400" s="58">
        <v>2</v>
      </c>
      <c r="E400" s="59" t="s">
        <v>629</v>
      </c>
      <c r="F400" s="60" t="s">
        <v>453</v>
      </c>
      <c r="G400" s="61" t="s">
        <v>113</v>
      </c>
      <c r="H400" s="61" t="s">
        <v>113</v>
      </c>
      <c r="I400" s="62" t="s">
        <v>113</v>
      </c>
      <c r="J400" s="63" t="s">
        <v>2387</v>
      </c>
      <c r="K400" s="99" t="s">
        <v>1195</v>
      </c>
      <c r="L400" s="130">
        <v>493539662</v>
      </c>
      <c r="M400" s="109" t="s">
        <v>537</v>
      </c>
      <c r="N400" s="12" t="s">
        <v>1194</v>
      </c>
      <c r="O400" s="100"/>
      <c r="P400" s="131">
        <v>728835709</v>
      </c>
      <c r="Q400" s="67"/>
      <c r="R400" s="68"/>
      <c r="S400" s="99"/>
      <c r="T400" s="65"/>
      <c r="U400" s="170">
        <v>526485</v>
      </c>
      <c r="V400" s="48">
        <f t="shared" si="92"/>
        <v>2713.8402061855668</v>
      </c>
      <c r="W400" s="171">
        <f t="shared" si="93"/>
        <v>1026.1861314935652</v>
      </c>
      <c r="X400" s="69">
        <v>99000</v>
      </c>
      <c r="Y400" s="48">
        <f t="shared" si="94"/>
        <v>510.30927835051546</v>
      </c>
      <c r="Z400" s="137">
        <f t="shared" si="95"/>
        <v>192.96357354504491</v>
      </c>
      <c r="AA400" s="69">
        <v>0</v>
      </c>
      <c r="AB400" s="48">
        <f t="shared" si="96"/>
        <v>0</v>
      </c>
      <c r="AC400" s="137">
        <f t="shared" si="97"/>
        <v>0</v>
      </c>
      <c r="AD400" s="70">
        <f t="shared" si="98"/>
        <v>625485</v>
      </c>
      <c r="AE400" s="71">
        <f t="shared" si="99"/>
        <v>3224.1494845360826</v>
      </c>
      <c r="AF400" s="193">
        <f t="shared" si="100"/>
        <v>1219.1497050386101</v>
      </c>
      <c r="AG400" s="185">
        <f t="shared" si="101"/>
        <v>3.2526521060842431E-2</v>
      </c>
      <c r="AH400" s="180">
        <f t="shared" si="105"/>
        <v>6.9114364640883968E-2</v>
      </c>
      <c r="AI400" s="189">
        <v>194</v>
      </c>
      <c r="AJ400" s="125">
        <v>513.05020000000002</v>
      </c>
      <c r="AK400" s="149">
        <v>90</v>
      </c>
      <c r="AL400" s="221">
        <v>53</v>
      </c>
      <c r="AM400" s="216">
        <v>93.442622950819683</v>
      </c>
      <c r="AN400" s="213">
        <v>22.727272727272723</v>
      </c>
      <c r="AO400" s="127">
        <v>3.8460000000000001</v>
      </c>
      <c r="AP400" s="133">
        <v>1.81</v>
      </c>
      <c r="AQ400" s="224">
        <f t="shared" si="102"/>
        <v>1.4264705882352942</v>
      </c>
      <c r="AR400" s="158">
        <v>136</v>
      </c>
      <c r="AS400" s="229">
        <f t="shared" si="103"/>
        <v>0.5257452574525745</v>
      </c>
      <c r="AT400" s="230">
        <v>369</v>
      </c>
      <c r="AU400" s="203">
        <v>19.072164948453608</v>
      </c>
      <c r="AV400" s="204">
        <v>65.979381443298976</v>
      </c>
      <c r="AW400" s="205">
        <v>14.948453608247423</v>
      </c>
      <c r="AX400" s="123">
        <v>3.9683000000000002</v>
      </c>
      <c r="AY400" s="281">
        <v>1.2987012987012987</v>
      </c>
      <c r="AZ400" s="282">
        <v>36.363636363636367</v>
      </c>
      <c r="BA400" s="283">
        <f t="shared" si="104"/>
        <v>62.33766233766233</v>
      </c>
      <c r="BB400" s="234">
        <v>79.629629629629619</v>
      </c>
      <c r="BC400" s="20">
        <v>2016</v>
      </c>
      <c r="BD400" s="264" t="s">
        <v>557</v>
      </c>
      <c r="BE400" s="262" t="s">
        <v>557</v>
      </c>
      <c r="BF400" s="260" t="s">
        <v>557</v>
      </c>
      <c r="BG400" s="256">
        <v>0</v>
      </c>
      <c r="BH400" s="248" t="s">
        <v>556</v>
      </c>
      <c r="BI400" s="249">
        <v>40.789473684210527</v>
      </c>
      <c r="BJ400" s="308" t="s">
        <v>556</v>
      </c>
      <c r="BK400" s="307" t="s">
        <v>556</v>
      </c>
      <c r="BL400" s="319" t="s">
        <v>1728</v>
      </c>
      <c r="BM400" s="320" t="s">
        <v>556</v>
      </c>
      <c r="BN400" s="321" t="s">
        <v>1803</v>
      </c>
      <c r="BO400" s="145" t="s">
        <v>998</v>
      </c>
      <c r="BP400" s="14" t="s">
        <v>556</v>
      </c>
      <c r="BQ400" s="14" t="s">
        <v>557</v>
      </c>
      <c r="BR400" s="72"/>
    </row>
    <row r="401" spans="1:70" s="56" customFormat="1" ht="13.95" customHeight="1" x14ac:dyDescent="0.3">
      <c r="A401" s="56" t="s">
        <v>459</v>
      </c>
      <c r="B401" s="57" t="s">
        <v>462</v>
      </c>
      <c r="C401" s="55" t="s">
        <v>285</v>
      </c>
      <c r="D401" s="58">
        <v>3</v>
      </c>
      <c r="E401" s="59" t="s">
        <v>667</v>
      </c>
      <c r="F401" s="60" t="s">
        <v>454</v>
      </c>
      <c r="G401" s="61" t="s">
        <v>226</v>
      </c>
      <c r="H401" s="61" t="s">
        <v>233</v>
      </c>
      <c r="I401" s="62" t="s">
        <v>233</v>
      </c>
      <c r="J401" s="63" t="s">
        <v>2389</v>
      </c>
      <c r="K401" s="99" t="s">
        <v>2388</v>
      </c>
      <c r="L401" s="130">
        <v>491459256</v>
      </c>
      <c r="M401" s="109" t="s">
        <v>564</v>
      </c>
      <c r="N401" s="12" t="s">
        <v>1369</v>
      </c>
      <c r="O401" s="100" t="s">
        <v>1370</v>
      </c>
      <c r="P401" s="131">
        <v>602475931</v>
      </c>
      <c r="Q401" s="67"/>
      <c r="R401" s="68"/>
      <c r="S401" s="99"/>
      <c r="T401" s="65"/>
      <c r="U401" s="170">
        <f>30000+353260+120473</f>
        <v>503733</v>
      </c>
      <c r="V401" s="48">
        <f t="shared" si="92"/>
        <v>671.64400000000001</v>
      </c>
      <c r="W401" s="171">
        <f t="shared" si="93"/>
        <v>342.10503260786965</v>
      </c>
      <c r="X401" s="69">
        <v>166962</v>
      </c>
      <c r="Y401" s="48">
        <f t="shared" si="94"/>
        <v>222.61600000000001</v>
      </c>
      <c r="Z401" s="137">
        <f t="shared" si="95"/>
        <v>113.39050738044783</v>
      </c>
      <c r="AA401" s="69">
        <v>0</v>
      </c>
      <c r="AB401" s="48">
        <f t="shared" si="96"/>
        <v>0</v>
      </c>
      <c r="AC401" s="137">
        <f t="shared" si="97"/>
        <v>0</v>
      </c>
      <c r="AD401" s="70">
        <f t="shared" si="98"/>
        <v>670695</v>
      </c>
      <c r="AE401" s="71">
        <f t="shared" si="99"/>
        <v>894.26</v>
      </c>
      <c r="AF401" s="193">
        <f t="shared" si="100"/>
        <v>455.49553998831743</v>
      </c>
      <c r="AG401" s="185">
        <f t="shared" si="101"/>
        <v>1.4874584165003327E-2</v>
      </c>
      <c r="AH401" s="180">
        <f t="shared" si="105"/>
        <v>3.7500419345820518E-2</v>
      </c>
      <c r="AI401" s="189">
        <v>750</v>
      </c>
      <c r="AJ401" s="125">
        <v>1472.4512999999999</v>
      </c>
      <c r="AK401" s="149">
        <v>353</v>
      </c>
      <c r="AL401" s="221">
        <v>219</v>
      </c>
      <c r="AM401" s="216">
        <v>90.181818181818187</v>
      </c>
      <c r="AN401" s="213">
        <v>8.3815028901734099</v>
      </c>
      <c r="AO401" s="127">
        <v>9.0180000000000007</v>
      </c>
      <c r="AP401" s="133">
        <v>3.577</v>
      </c>
      <c r="AQ401" s="224">
        <f t="shared" si="102"/>
        <v>1.0190217391304348</v>
      </c>
      <c r="AR401" s="158">
        <v>736</v>
      </c>
      <c r="AS401" s="229">
        <f t="shared" si="103"/>
        <v>0.66079295154185025</v>
      </c>
      <c r="AT401" s="230">
        <v>1135</v>
      </c>
      <c r="AU401" s="203">
        <v>15.6</v>
      </c>
      <c r="AV401" s="204">
        <v>65.466666666666669</v>
      </c>
      <c r="AW401" s="205">
        <v>18.933333333333334</v>
      </c>
      <c r="AX401" s="123">
        <v>3.9761000000000002</v>
      </c>
      <c r="AY401" s="281">
        <v>9.6273291925465845</v>
      </c>
      <c r="AZ401" s="282">
        <v>42.546583850931682</v>
      </c>
      <c r="BA401" s="283">
        <f t="shared" si="104"/>
        <v>47.826086956521735</v>
      </c>
      <c r="BB401" s="234">
        <v>83.333333333333343</v>
      </c>
      <c r="BC401" s="20">
        <v>2015</v>
      </c>
      <c r="BD401" s="263" t="s">
        <v>556</v>
      </c>
      <c r="BE401" s="261" t="s">
        <v>556</v>
      </c>
      <c r="BF401" s="259" t="s">
        <v>556</v>
      </c>
      <c r="BG401" s="256">
        <v>58.263305322128858</v>
      </c>
      <c r="BH401" s="254" t="s">
        <v>557</v>
      </c>
      <c r="BI401" s="249">
        <v>0</v>
      </c>
      <c r="BJ401" s="308" t="s">
        <v>556</v>
      </c>
      <c r="BK401" s="307" t="s">
        <v>1707</v>
      </c>
      <c r="BL401" s="319" t="s">
        <v>1728</v>
      </c>
      <c r="BM401" s="320" t="s">
        <v>556</v>
      </c>
      <c r="BN401" s="321" t="s">
        <v>1957</v>
      </c>
      <c r="BO401" s="145" t="s">
        <v>556</v>
      </c>
      <c r="BP401" s="14" t="s">
        <v>556</v>
      </c>
      <c r="BQ401" s="14" t="s">
        <v>556</v>
      </c>
    </row>
    <row r="402" spans="1:70" s="56" customFormat="1" ht="13.95" customHeight="1" x14ac:dyDescent="0.3">
      <c r="A402" s="56" t="s">
        <v>459</v>
      </c>
      <c r="B402" s="57" t="s">
        <v>462</v>
      </c>
      <c r="C402" s="55" t="s">
        <v>286</v>
      </c>
      <c r="D402" s="58">
        <v>3</v>
      </c>
      <c r="E402" s="59" t="s">
        <v>1692</v>
      </c>
      <c r="F402" s="60" t="s">
        <v>454</v>
      </c>
      <c r="G402" s="61" t="s">
        <v>226</v>
      </c>
      <c r="H402" s="61" t="s">
        <v>1227</v>
      </c>
      <c r="I402" s="62" t="s">
        <v>1227</v>
      </c>
      <c r="J402" s="63" t="s">
        <v>2390</v>
      </c>
      <c r="K402" s="99" t="s">
        <v>1372</v>
      </c>
      <c r="L402" s="130">
        <v>491541140</v>
      </c>
      <c r="M402" s="109" t="s">
        <v>564</v>
      </c>
      <c r="N402" s="12" t="s">
        <v>1371</v>
      </c>
      <c r="O402" s="100"/>
      <c r="P402" s="131">
        <v>607936059</v>
      </c>
      <c r="Q402" s="67"/>
      <c r="R402" s="68"/>
      <c r="S402" s="99"/>
      <c r="T402" s="65"/>
      <c r="U402" s="170">
        <f>30000+58750+115000+861178</f>
        <v>1064928</v>
      </c>
      <c r="V402" s="48">
        <f t="shared" si="92"/>
        <v>2696.0202531645568</v>
      </c>
      <c r="W402" s="171">
        <f t="shared" si="93"/>
        <v>1747.9886512576111</v>
      </c>
      <c r="X402" s="69">
        <v>174840</v>
      </c>
      <c r="Y402" s="48">
        <f t="shared" si="94"/>
        <v>442.63291139240505</v>
      </c>
      <c r="Z402" s="137">
        <f t="shared" si="95"/>
        <v>286.98497530901687</v>
      </c>
      <c r="AA402" s="69">
        <v>0</v>
      </c>
      <c r="AB402" s="48">
        <f t="shared" si="96"/>
        <v>0</v>
      </c>
      <c r="AC402" s="137">
        <f t="shared" si="97"/>
        <v>0</v>
      </c>
      <c r="AD402" s="70">
        <f t="shared" si="98"/>
        <v>1239768</v>
      </c>
      <c r="AE402" s="71">
        <f t="shared" si="99"/>
        <v>3138.6531645569621</v>
      </c>
      <c r="AF402" s="193">
        <f t="shared" si="100"/>
        <v>2034.9736265666279</v>
      </c>
      <c r="AG402" s="185">
        <f t="shared" si="101"/>
        <v>7.3642292842292831E-2</v>
      </c>
      <c r="AH402" s="180">
        <f t="shared" si="105"/>
        <v>1.6206117647058824</v>
      </c>
      <c r="AI402" s="189">
        <v>395</v>
      </c>
      <c r="AJ402" s="125">
        <v>609.23050000000001</v>
      </c>
      <c r="AK402" s="149">
        <v>213</v>
      </c>
      <c r="AL402" s="221">
        <v>114</v>
      </c>
      <c r="AM402" s="216">
        <v>88.059701492537314</v>
      </c>
      <c r="AN402" s="213">
        <v>26.237623762376238</v>
      </c>
      <c r="AO402" s="127">
        <v>3.367</v>
      </c>
      <c r="AP402" s="133">
        <v>0.153</v>
      </c>
      <c r="AQ402" s="224">
        <f t="shared" si="102"/>
        <v>1.0911602209944751</v>
      </c>
      <c r="AR402" s="158">
        <v>362</v>
      </c>
      <c r="AS402" s="229">
        <f t="shared" si="103"/>
        <v>0.51566579634464749</v>
      </c>
      <c r="AT402" s="230">
        <v>766</v>
      </c>
      <c r="AU402" s="203">
        <v>16.202531645569621</v>
      </c>
      <c r="AV402" s="204">
        <v>66.582278481012651</v>
      </c>
      <c r="AW402" s="205">
        <v>17.215189873417721</v>
      </c>
      <c r="AX402" s="123">
        <v>5.7034000000000002</v>
      </c>
      <c r="AY402" s="281">
        <v>8.5889570552147241</v>
      </c>
      <c r="AZ402" s="282">
        <v>49.693251533742334</v>
      </c>
      <c r="BA402" s="283">
        <f t="shared" si="104"/>
        <v>41.717791411042946</v>
      </c>
      <c r="BB402" s="234">
        <v>85.526315789473685</v>
      </c>
      <c r="BC402" s="20">
        <v>2000</v>
      </c>
      <c r="BD402" s="263" t="s">
        <v>556</v>
      </c>
      <c r="BE402" s="261" t="s">
        <v>556</v>
      </c>
      <c r="BF402" s="260" t="s">
        <v>557</v>
      </c>
      <c r="BG402" s="256">
        <v>30.083565459610028</v>
      </c>
      <c r="BH402" s="254" t="s">
        <v>557</v>
      </c>
      <c r="BI402" s="249">
        <v>0</v>
      </c>
      <c r="BJ402" s="309" t="s">
        <v>557</v>
      </c>
      <c r="BK402" s="307" t="s">
        <v>557</v>
      </c>
      <c r="BL402" s="319" t="s">
        <v>1728</v>
      </c>
      <c r="BM402" s="320" t="s">
        <v>557</v>
      </c>
      <c r="BN402" s="321" t="s">
        <v>1767</v>
      </c>
      <c r="BO402" s="145" t="s">
        <v>557</v>
      </c>
      <c r="BP402" s="14" t="s">
        <v>557</v>
      </c>
      <c r="BQ402" s="14" t="s">
        <v>556</v>
      </c>
    </row>
    <row r="403" spans="1:70" s="72" customFormat="1" ht="13.95" customHeight="1" x14ac:dyDescent="0.3">
      <c r="A403" s="56" t="s">
        <v>459</v>
      </c>
      <c r="B403" s="57" t="s">
        <v>463</v>
      </c>
      <c r="C403" s="55" t="s">
        <v>287</v>
      </c>
      <c r="D403" s="58">
        <v>1</v>
      </c>
      <c r="E403" s="59"/>
      <c r="F403" s="60" t="s">
        <v>454</v>
      </c>
      <c r="G403" s="61" t="s">
        <v>226</v>
      </c>
      <c r="H403" s="61" t="s">
        <v>249</v>
      </c>
      <c r="I403" s="62" t="s">
        <v>249</v>
      </c>
      <c r="J403" s="63" t="s">
        <v>2392</v>
      </c>
      <c r="K403" s="101" t="s">
        <v>2391</v>
      </c>
      <c r="L403" s="130">
        <v>491482732</v>
      </c>
      <c r="M403" s="109" t="s">
        <v>564</v>
      </c>
      <c r="N403" s="12" t="s">
        <v>1373</v>
      </c>
      <c r="O403" s="100" t="s">
        <v>1374</v>
      </c>
      <c r="P403" s="131">
        <v>608714999</v>
      </c>
      <c r="Q403" s="67"/>
      <c r="R403" s="68"/>
      <c r="S403" s="99"/>
      <c r="T403" s="65"/>
      <c r="U403" s="172">
        <v>0</v>
      </c>
      <c r="V403" s="135">
        <f t="shared" si="92"/>
        <v>0</v>
      </c>
      <c r="W403" s="173">
        <f t="shared" si="93"/>
        <v>0</v>
      </c>
      <c r="X403" s="69">
        <v>334540</v>
      </c>
      <c r="Y403" s="48">
        <f t="shared" si="94"/>
        <v>139.68267223382045</v>
      </c>
      <c r="Z403" s="137">
        <f t="shared" si="95"/>
        <v>449.16919006016809</v>
      </c>
      <c r="AA403" s="69">
        <v>0</v>
      </c>
      <c r="AB403" s="48">
        <f t="shared" si="96"/>
        <v>0</v>
      </c>
      <c r="AC403" s="137">
        <f t="shared" si="97"/>
        <v>0</v>
      </c>
      <c r="AD403" s="70">
        <f t="shared" si="98"/>
        <v>334540</v>
      </c>
      <c r="AE403" s="71">
        <f t="shared" si="99"/>
        <v>139.68267223382045</v>
      </c>
      <c r="AF403" s="193">
        <f t="shared" si="100"/>
        <v>449.16919006016809</v>
      </c>
      <c r="AG403" s="185">
        <f t="shared" si="101"/>
        <v>2.1094646572923891E-3</v>
      </c>
      <c r="AH403" s="180">
        <f t="shared" si="105"/>
        <v>8.284794452699357E-3</v>
      </c>
      <c r="AI403" s="189">
        <v>2395</v>
      </c>
      <c r="AJ403" s="125">
        <v>744.79729999999995</v>
      </c>
      <c r="AK403" s="149">
        <v>667</v>
      </c>
      <c r="AL403" s="221">
        <v>490</v>
      </c>
      <c r="AM403" s="216">
        <v>58.740499457111838</v>
      </c>
      <c r="AN403" s="213">
        <v>3.4451495920217585</v>
      </c>
      <c r="AO403" s="127">
        <v>31.718</v>
      </c>
      <c r="AP403" s="133">
        <v>8.0760000000000005</v>
      </c>
      <c r="AQ403" s="224">
        <f t="shared" si="102"/>
        <v>1.0144006776789496</v>
      </c>
      <c r="AR403" s="158">
        <v>2361</v>
      </c>
      <c r="AS403" s="229">
        <f t="shared" si="103"/>
        <v>0.88181148748159055</v>
      </c>
      <c r="AT403" s="230">
        <v>2716</v>
      </c>
      <c r="AU403" s="203">
        <v>16.033402922755741</v>
      </c>
      <c r="AV403" s="204">
        <v>62.087682672233825</v>
      </c>
      <c r="AW403" s="205">
        <v>21.878914405010438</v>
      </c>
      <c r="AX403" s="123">
        <v>3.258</v>
      </c>
      <c r="AY403" s="281">
        <v>1.9487179487179489</v>
      </c>
      <c r="AZ403" s="282">
        <v>42.974358974358971</v>
      </c>
      <c r="BA403" s="283">
        <f t="shared" si="104"/>
        <v>55.076923076923073</v>
      </c>
      <c r="BB403" s="234">
        <v>46.254927726675426</v>
      </c>
      <c r="BC403" s="20">
        <v>2007</v>
      </c>
      <c r="BD403" s="263" t="s">
        <v>556</v>
      </c>
      <c r="BE403" s="261" t="s">
        <v>556</v>
      </c>
      <c r="BF403" s="259" t="s">
        <v>556</v>
      </c>
      <c r="BG403" s="256">
        <v>69.773519163763069</v>
      </c>
      <c r="BH403" s="248" t="s">
        <v>556</v>
      </c>
      <c r="BI403" s="249">
        <v>68.560782487191432</v>
      </c>
      <c r="BJ403" s="308" t="s">
        <v>556</v>
      </c>
      <c r="BK403" s="307" t="s">
        <v>556</v>
      </c>
      <c r="BL403" s="319" t="s">
        <v>1728</v>
      </c>
      <c r="BM403" s="320" t="s">
        <v>556</v>
      </c>
      <c r="BN403" s="321" t="s">
        <v>2159</v>
      </c>
      <c r="BO403" s="145" t="s">
        <v>556</v>
      </c>
      <c r="BP403" s="14" t="s">
        <v>556</v>
      </c>
      <c r="BQ403" s="14" t="s">
        <v>556</v>
      </c>
      <c r="BR403" s="56"/>
    </row>
    <row r="404" spans="1:70" s="56" customFormat="1" ht="13.95" customHeight="1" x14ac:dyDescent="0.3">
      <c r="A404" s="56" t="s">
        <v>459</v>
      </c>
      <c r="B404" s="57" t="s">
        <v>462</v>
      </c>
      <c r="C404" s="55" t="s">
        <v>442</v>
      </c>
      <c r="D404" s="58">
        <v>2</v>
      </c>
      <c r="E404" s="59" t="s">
        <v>1225</v>
      </c>
      <c r="F404" s="60" t="s">
        <v>456</v>
      </c>
      <c r="G404" s="61" t="s">
        <v>378</v>
      </c>
      <c r="H404" s="61" t="s">
        <v>379</v>
      </c>
      <c r="I404" s="62" t="s">
        <v>380</v>
      </c>
      <c r="J404" s="63" t="s">
        <v>2394</v>
      </c>
      <c r="K404" s="99" t="s">
        <v>2393</v>
      </c>
      <c r="L404" s="130">
        <v>499881860</v>
      </c>
      <c r="M404" s="109" t="s">
        <v>564</v>
      </c>
      <c r="N404" s="12" t="s">
        <v>2510</v>
      </c>
      <c r="O404" s="100" t="s">
        <v>1654</v>
      </c>
      <c r="P404" s="131">
        <v>724180857</v>
      </c>
      <c r="Q404" s="348"/>
      <c r="S404" s="105"/>
      <c r="T404" s="112"/>
      <c r="U404" s="170">
        <v>898000</v>
      </c>
      <c r="V404" s="48">
        <f t="shared" si="92"/>
        <v>711.00554235946163</v>
      </c>
      <c r="W404" s="171">
        <f t="shared" si="93"/>
        <v>517.25411104696957</v>
      </c>
      <c r="X404" s="69">
        <v>60200</v>
      </c>
      <c r="Y404" s="48">
        <f t="shared" si="94"/>
        <v>47.664291369754551</v>
      </c>
      <c r="Z404" s="137">
        <f t="shared" si="95"/>
        <v>34.675609671522906</v>
      </c>
      <c r="AA404" s="69">
        <v>0</v>
      </c>
      <c r="AB404" s="48">
        <f t="shared" si="96"/>
        <v>0</v>
      </c>
      <c r="AC404" s="137">
        <f t="shared" si="97"/>
        <v>0</v>
      </c>
      <c r="AD404" s="70">
        <f t="shared" si="98"/>
        <v>958200</v>
      </c>
      <c r="AE404" s="71">
        <f t="shared" si="99"/>
        <v>758.66983372921618</v>
      </c>
      <c r="AF404" s="193">
        <f t="shared" si="100"/>
        <v>551.92972071849249</v>
      </c>
      <c r="AG404" s="185">
        <f t="shared" si="101"/>
        <v>9.4599664330141178E-3</v>
      </c>
      <c r="AH404" s="180">
        <f t="shared" si="105"/>
        <v>1.8867775918086048E-2</v>
      </c>
      <c r="AI404" s="189">
        <v>1263</v>
      </c>
      <c r="AJ404" s="125">
        <v>1736.0906</v>
      </c>
      <c r="AK404" s="149">
        <v>632</v>
      </c>
      <c r="AL404" s="221">
        <v>359</v>
      </c>
      <c r="AM404" s="216">
        <v>86.881720430107521</v>
      </c>
      <c r="AN404" s="213">
        <v>13.765822784810128</v>
      </c>
      <c r="AO404" s="127">
        <v>20.257999999999999</v>
      </c>
      <c r="AP404" s="133">
        <v>10.157</v>
      </c>
      <c r="AQ404" s="224">
        <f t="shared" si="102"/>
        <v>1.1327354260089686</v>
      </c>
      <c r="AR404" s="158">
        <v>1115</v>
      </c>
      <c r="AS404" s="229">
        <f t="shared" si="103"/>
        <v>0.55394736842105263</v>
      </c>
      <c r="AT404" s="230">
        <v>2280</v>
      </c>
      <c r="AU404" s="203">
        <v>13.935075217735552</v>
      </c>
      <c r="AV404" s="204">
        <v>65.716547901821059</v>
      </c>
      <c r="AW404" s="205">
        <v>20.348376880443389</v>
      </c>
      <c r="AX404" s="123">
        <v>4.3742000000000001</v>
      </c>
      <c r="AY404" s="281">
        <v>4.1984732824427482</v>
      </c>
      <c r="AZ404" s="282">
        <v>45.610687022900763</v>
      </c>
      <c r="BA404" s="283">
        <f t="shared" si="104"/>
        <v>50.190839694656489</v>
      </c>
      <c r="BB404" s="234">
        <v>90.909090909090907</v>
      </c>
      <c r="BC404" s="20">
        <v>2008</v>
      </c>
      <c r="BD404" s="263" t="s">
        <v>556</v>
      </c>
      <c r="BE404" s="261" t="s">
        <v>556</v>
      </c>
      <c r="BF404" s="259" t="s">
        <v>556</v>
      </c>
      <c r="BG404" s="256">
        <v>15.378079864061172</v>
      </c>
      <c r="BH404" s="248" t="s">
        <v>556</v>
      </c>
      <c r="BI404" s="249">
        <v>46.105640107430617</v>
      </c>
      <c r="BJ404" s="308" t="s">
        <v>556</v>
      </c>
      <c r="BK404" s="307" t="s">
        <v>750</v>
      </c>
      <c r="BL404" s="319" t="s">
        <v>1728</v>
      </c>
      <c r="BM404" s="320" t="s">
        <v>556</v>
      </c>
      <c r="BN404" s="321" t="s">
        <v>1847</v>
      </c>
      <c r="BO404" s="145" t="s">
        <v>556</v>
      </c>
      <c r="BP404" s="14" t="s">
        <v>556</v>
      </c>
      <c r="BQ404" s="14" t="s">
        <v>556</v>
      </c>
    </row>
    <row r="405" spans="1:70" s="72" customFormat="1" ht="13.95" customHeight="1" x14ac:dyDescent="0.3">
      <c r="A405" s="56" t="s">
        <v>459</v>
      </c>
      <c r="B405" s="57" t="s">
        <v>462</v>
      </c>
      <c r="C405" s="55" t="s">
        <v>288</v>
      </c>
      <c r="D405" s="58">
        <v>1</v>
      </c>
      <c r="E405" s="59"/>
      <c r="F405" s="60" t="s">
        <v>454</v>
      </c>
      <c r="G405" s="61" t="s">
        <v>242</v>
      </c>
      <c r="H405" s="61" t="s">
        <v>242</v>
      </c>
      <c r="I405" s="62" t="s">
        <v>233</v>
      </c>
      <c r="J405" s="63" t="s">
        <v>2396</v>
      </c>
      <c r="K405" s="101" t="s">
        <v>2395</v>
      </c>
      <c r="L405" s="130">
        <v>491452836</v>
      </c>
      <c r="M405" s="109" t="s">
        <v>564</v>
      </c>
      <c r="N405" s="12" t="s">
        <v>1375</v>
      </c>
      <c r="O405" s="100" t="s">
        <v>1376</v>
      </c>
      <c r="P405" s="131">
        <v>723314593</v>
      </c>
      <c r="Q405" s="67"/>
      <c r="R405" s="68"/>
      <c r="S405" s="99"/>
      <c r="T405" s="65"/>
      <c r="U405" s="170">
        <v>0</v>
      </c>
      <c r="V405" s="48">
        <f t="shared" si="92"/>
        <v>0</v>
      </c>
      <c r="W405" s="171">
        <f t="shared" si="93"/>
        <v>0</v>
      </c>
      <c r="X405" s="69">
        <v>0</v>
      </c>
      <c r="Y405" s="48">
        <f t="shared" si="94"/>
        <v>0</v>
      </c>
      <c r="Z405" s="137">
        <f t="shared" si="95"/>
        <v>0</v>
      </c>
      <c r="AA405" s="69">
        <v>0</v>
      </c>
      <c r="AB405" s="48">
        <f t="shared" si="96"/>
        <v>0</v>
      </c>
      <c r="AC405" s="137">
        <f t="shared" si="97"/>
        <v>0</v>
      </c>
      <c r="AD405" s="70">
        <f t="shared" si="98"/>
        <v>0</v>
      </c>
      <c r="AE405" s="71">
        <f t="shared" si="99"/>
        <v>0</v>
      </c>
      <c r="AF405" s="193">
        <f t="shared" si="100"/>
        <v>0</v>
      </c>
      <c r="AG405" s="185">
        <f t="shared" si="101"/>
        <v>0</v>
      </c>
      <c r="AH405" s="180">
        <f t="shared" si="105"/>
        <v>0</v>
      </c>
      <c r="AI405" s="189">
        <v>327</v>
      </c>
      <c r="AJ405" s="125">
        <v>313.9907</v>
      </c>
      <c r="AK405" s="149">
        <v>130</v>
      </c>
      <c r="AL405" s="221">
        <v>96</v>
      </c>
      <c r="AM405" s="216">
        <v>83.333333333333343</v>
      </c>
      <c r="AN405" s="213">
        <v>8.5889570552147241</v>
      </c>
      <c r="AO405" s="127">
        <v>3.6579999999999999</v>
      </c>
      <c r="AP405" s="133">
        <v>1.1439999999999999</v>
      </c>
      <c r="AQ405" s="224">
        <f t="shared" si="102"/>
        <v>0.96460176991150437</v>
      </c>
      <c r="AR405" s="158">
        <v>339</v>
      </c>
      <c r="AS405" s="229">
        <f t="shared" si="103"/>
        <v>0.61698113207547167</v>
      </c>
      <c r="AT405" s="230">
        <v>530</v>
      </c>
      <c r="AU405" s="203">
        <v>18.654434250764528</v>
      </c>
      <c r="AV405" s="204">
        <v>64.831804281345569</v>
      </c>
      <c r="AW405" s="205">
        <v>16.513761467889911</v>
      </c>
      <c r="AX405" s="123">
        <v>5.0926</v>
      </c>
      <c r="AY405" s="281">
        <v>11.194029850746269</v>
      </c>
      <c r="AZ405" s="282">
        <v>38.059701492537314</v>
      </c>
      <c r="BA405" s="283">
        <f t="shared" si="104"/>
        <v>50.746268656716424</v>
      </c>
      <c r="BB405" s="234">
        <v>64.788732394366207</v>
      </c>
      <c r="BC405" s="20">
        <v>2011</v>
      </c>
      <c r="BD405" s="263" t="s">
        <v>556</v>
      </c>
      <c r="BE405" s="262" t="s">
        <v>557</v>
      </c>
      <c r="BF405" s="260" t="s">
        <v>557</v>
      </c>
      <c r="BG405" s="256">
        <v>0</v>
      </c>
      <c r="BH405" s="248" t="s">
        <v>556</v>
      </c>
      <c r="BI405" s="249">
        <v>13.851351351351351</v>
      </c>
      <c r="BJ405" s="308" t="s">
        <v>556</v>
      </c>
      <c r="BK405" s="307" t="s">
        <v>750</v>
      </c>
      <c r="BL405" s="319" t="s">
        <v>1728</v>
      </c>
      <c r="BM405" s="320" t="s">
        <v>556</v>
      </c>
      <c r="BN405" s="321" t="s">
        <v>1803</v>
      </c>
      <c r="BO405" s="145" t="s">
        <v>557</v>
      </c>
      <c r="BP405" s="14" t="s">
        <v>556</v>
      </c>
      <c r="BQ405" s="14" t="s">
        <v>557</v>
      </c>
    </row>
    <row r="406" spans="1:70" s="56" customFormat="1" ht="13.95" customHeight="1" x14ac:dyDescent="0.3">
      <c r="A406" s="56" t="s">
        <v>459</v>
      </c>
      <c r="B406" s="57" t="s">
        <v>463</v>
      </c>
      <c r="C406" s="55" t="s">
        <v>443</v>
      </c>
      <c r="D406" s="58">
        <v>1</v>
      </c>
      <c r="E406" s="59"/>
      <c r="F406" s="60" t="s">
        <v>456</v>
      </c>
      <c r="G406" s="61" t="s">
        <v>531</v>
      </c>
      <c r="H406" s="61" t="s">
        <v>531</v>
      </c>
      <c r="I406" s="62" t="s">
        <v>531</v>
      </c>
      <c r="J406" s="63" t="s">
        <v>2398</v>
      </c>
      <c r="K406" s="99" t="s">
        <v>2397</v>
      </c>
      <c r="L406" s="130">
        <v>499694225</v>
      </c>
      <c r="M406" s="109" t="s">
        <v>537</v>
      </c>
      <c r="N406" s="12" t="s">
        <v>1655</v>
      </c>
      <c r="O406" s="100" t="s">
        <v>1656</v>
      </c>
      <c r="P406" s="131">
        <v>604641115</v>
      </c>
      <c r="Q406" s="82"/>
      <c r="R406" s="72"/>
      <c r="S406" s="115"/>
      <c r="T406" s="112"/>
      <c r="U406" s="170">
        <v>567019</v>
      </c>
      <c r="V406" s="48">
        <f t="shared" si="92"/>
        <v>2476.0655021834059</v>
      </c>
      <c r="W406" s="171">
        <f t="shared" si="93"/>
        <v>667.43389565403277</v>
      </c>
      <c r="X406" s="69">
        <v>3510</v>
      </c>
      <c r="Y406" s="48">
        <f t="shared" si="94"/>
        <v>15.327510917030567</v>
      </c>
      <c r="Z406" s="137">
        <f t="shared" si="95"/>
        <v>4.1315951912469506</v>
      </c>
      <c r="AA406" s="69">
        <v>0</v>
      </c>
      <c r="AB406" s="48">
        <f t="shared" si="96"/>
        <v>0</v>
      </c>
      <c r="AC406" s="137">
        <f t="shared" si="97"/>
        <v>0</v>
      </c>
      <c r="AD406" s="70">
        <f t="shared" si="98"/>
        <v>570529</v>
      </c>
      <c r="AE406" s="71">
        <f t="shared" si="99"/>
        <v>2491.3930131004367</v>
      </c>
      <c r="AF406" s="193">
        <f t="shared" si="100"/>
        <v>671.56549084527967</v>
      </c>
      <c r="AG406" s="185">
        <f t="shared" si="101"/>
        <v>3.8213596784996647E-2</v>
      </c>
      <c r="AH406" s="180">
        <f t="shared" si="105"/>
        <v>1.1643448979591837</v>
      </c>
      <c r="AI406" s="189">
        <v>229</v>
      </c>
      <c r="AJ406" s="125">
        <v>849.55079999999998</v>
      </c>
      <c r="AK406" s="149">
        <v>261</v>
      </c>
      <c r="AL406" s="221">
        <v>68</v>
      </c>
      <c r="AM406" s="216">
        <v>81.707317073170728</v>
      </c>
      <c r="AN406" s="213">
        <v>35.211267605633807</v>
      </c>
      <c r="AO406" s="127">
        <v>2.9860000000000002</v>
      </c>
      <c r="AP406" s="133">
        <v>9.8000000000000004E-2</v>
      </c>
      <c r="AQ406" s="224">
        <f t="shared" si="102"/>
        <v>1.1743589743589744</v>
      </c>
      <c r="AR406" s="158">
        <v>195</v>
      </c>
      <c r="AS406" s="229">
        <f t="shared" si="103"/>
        <v>0.50888888888888884</v>
      </c>
      <c r="AT406" s="230">
        <v>450</v>
      </c>
      <c r="AU406" s="203">
        <v>17.903930131004365</v>
      </c>
      <c r="AV406" s="204">
        <v>65.502183406113545</v>
      </c>
      <c r="AW406" s="205">
        <v>16.593886462882097</v>
      </c>
      <c r="AX406" s="123">
        <v>5</v>
      </c>
      <c r="AY406" s="281">
        <v>8.8235294117647065</v>
      </c>
      <c r="AZ406" s="282">
        <v>31.372549019607842</v>
      </c>
      <c r="BA406" s="283">
        <f t="shared" si="104"/>
        <v>59.803921568627445</v>
      </c>
      <c r="BB406" s="234">
        <v>97.727272727272734</v>
      </c>
      <c r="BC406" s="20">
        <v>2008</v>
      </c>
      <c r="BD406" s="263" t="s">
        <v>556</v>
      </c>
      <c r="BE406" s="261" t="s">
        <v>556</v>
      </c>
      <c r="BF406" s="260" t="s">
        <v>557</v>
      </c>
      <c r="BG406" s="256">
        <v>21.951219512195124</v>
      </c>
      <c r="BH406" s="248" t="s">
        <v>556</v>
      </c>
      <c r="BI406" s="249">
        <v>48.756218905472636</v>
      </c>
      <c r="BJ406" s="309" t="s">
        <v>557</v>
      </c>
      <c r="BK406" s="307" t="s">
        <v>557</v>
      </c>
      <c r="BL406" s="319" t="s">
        <v>1728</v>
      </c>
      <c r="BM406" s="320" t="s">
        <v>556</v>
      </c>
      <c r="BN406" s="321" t="s">
        <v>1838</v>
      </c>
      <c r="BO406" s="145" t="s">
        <v>556</v>
      </c>
      <c r="BP406" s="14" t="s">
        <v>557</v>
      </c>
      <c r="BQ406" s="14" t="s">
        <v>557</v>
      </c>
    </row>
    <row r="407" spans="1:70" s="56" customFormat="1" ht="13.95" customHeight="1" x14ac:dyDescent="0.3">
      <c r="A407" s="56" t="s">
        <v>459</v>
      </c>
      <c r="B407" s="57" t="s">
        <v>462</v>
      </c>
      <c r="C407" s="55" t="s">
        <v>289</v>
      </c>
      <c r="D407" s="58">
        <v>1</v>
      </c>
      <c r="E407" s="59"/>
      <c r="F407" s="60" t="s">
        <v>454</v>
      </c>
      <c r="G407" s="61" t="s">
        <v>223</v>
      </c>
      <c r="H407" s="61" t="s">
        <v>1226</v>
      </c>
      <c r="I407" s="62" t="s">
        <v>251</v>
      </c>
      <c r="J407" s="63" t="s">
        <v>2402</v>
      </c>
      <c r="K407" s="99" t="s">
        <v>1378</v>
      </c>
      <c r="L407" s="130">
        <v>491582419</v>
      </c>
      <c r="M407" s="109" t="s">
        <v>564</v>
      </c>
      <c r="N407" s="12" t="s">
        <v>1377</v>
      </c>
      <c r="O407" s="100"/>
      <c r="P407" s="131">
        <v>728545336</v>
      </c>
      <c r="Q407" s="67"/>
      <c r="R407" s="68"/>
      <c r="S407" s="99"/>
      <c r="T407" s="65"/>
      <c r="U407" s="170">
        <v>258000</v>
      </c>
      <c r="V407" s="48">
        <f t="shared" si="92"/>
        <v>779.4561933534743</v>
      </c>
      <c r="W407" s="171">
        <f t="shared" si="93"/>
        <v>274.41708439931426</v>
      </c>
      <c r="X407" s="69">
        <v>0</v>
      </c>
      <c r="Y407" s="48">
        <f t="shared" si="94"/>
        <v>0</v>
      </c>
      <c r="Z407" s="137">
        <f t="shared" si="95"/>
        <v>0</v>
      </c>
      <c r="AA407" s="69">
        <v>0</v>
      </c>
      <c r="AB407" s="48">
        <f t="shared" si="96"/>
        <v>0</v>
      </c>
      <c r="AC407" s="137">
        <f t="shared" si="97"/>
        <v>0</v>
      </c>
      <c r="AD407" s="70">
        <f t="shared" si="98"/>
        <v>258000</v>
      </c>
      <c r="AE407" s="71">
        <f t="shared" si="99"/>
        <v>779.4561933534743</v>
      </c>
      <c r="AF407" s="193">
        <f t="shared" si="100"/>
        <v>274.41708439931426</v>
      </c>
      <c r="AG407" s="185">
        <f t="shared" si="101"/>
        <v>1.3893376413570274E-2</v>
      </c>
      <c r="AH407" s="180">
        <f t="shared" si="105"/>
        <v>0.19922779922779923</v>
      </c>
      <c r="AI407" s="189">
        <v>331</v>
      </c>
      <c r="AJ407" s="125">
        <v>940.17470000000003</v>
      </c>
      <c r="AK407" s="149">
        <v>154</v>
      </c>
      <c r="AL407" s="221">
        <v>91</v>
      </c>
      <c r="AM407" s="216">
        <v>75</v>
      </c>
      <c r="AN407" s="213">
        <v>20</v>
      </c>
      <c r="AO407" s="127">
        <v>3.714</v>
      </c>
      <c r="AP407" s="133">
        <v>0.25900000000000001</v>
      </c>
      <c r="AQ407" s="224">
        <f t="shared" si="102"/>
        <v>0.87798408488063662</v>
      </c>
      <c r="AR407" s="158">
        <v>377</v>
      </c>
      <c r="AS407" s="229">
        <f t="shared" si="103"/>
        <v>0.30619796484736356</v>
      </c>
      <c r="AT407" s="230">
        <v>1081</v>
      </c>
      <c r="AU407" s="203">
        <v>14.501510574018129</v>
      </c>
      <c r="AV407" s="204">
        <v>69.184290030211486</v>
      </c>
      <c r="AW407" s="205">
        <v>16.314199395770395</v>
      </c>
      <c r="AX407" s="123">
        <v>4.3860000000000001</v>
      </c>
      <c r="AY407" s="281">
        <v>6.3492063492063489</v>
      </c>
      <c r="AZ407" s="282">
        <v>50</v>
      </c>
      <c r="BA407" s="283">
        <f t="shared" si="104"/>
        <v>43.650793650793645</v>
      </c>
      <c r="BB407" s="234">
        <v>93.220338983050851</v>
      </c>
      <c r="BC407" s="20">
        <v>2011</v>
      </c>
      <c r="BD407" s="263" t="s">
        <v>556</v>
      </c>
      <c r="BE407" s="262" t="s">
        <v>557</v>
      </c>
      <c r="BF407" s="260" t="s">
        <v>557</v>
      </c>
      <c r="BG407" s="256">
        <v>0</v>
      </c>
      <c r="BH407" s="254" t="s">
        <v>557</v>
      </c>
      <c r="BI407" s="249">
        <v>0</v>
      </c>
      <c r="BJ407" s="308" t="s">
        <v>556</v>
      </c>
      <c r="BK407" s="307" t="s">
        <v>750</v>
      </c>
      <c r="BL407" s="319" t="s">
        <v>1728</v>
      </c>
      <c r="BM407" s="320" t="s">
        <v>557</v>
      </c>
      <c r="BN407" s="321" t="s">
        <v>1838</v>
      </c>
      <c r="BO407" s="145" t="s">
        <v>556</v>
      </c>
      <c r="BP407" s="14" t="s">
        <v>556</v>
      </c>
      <c r="BQ407" s="14" t="s">
        <v>556</v>
      </c>
    </row>
    <row r="408" spans="1:70" s="56" customFormat="1" ht="13.95" customHeight="1" x14ac:dyDescent="0.3">
      <c r="A408" s="56" t="s">
        <v>459</v>
      </c>
      <c r="B408" s="57" t="s">
        <v>462</v>
      </c>
      <c r="C408" s="55" t="s">
        <v>290</v>
      </c>
      <c r="D408" s="58">
        <v>3</v>
      </c>
      <c r="E408" s="59" t="s">
        <v>2405</v>
      </c>
      <c r="F408" s="60" t="s">
        <v>454</v>
      </c>
      <c r="G408" s="61" t="s">
        <v>226</v>
      </c>
      <c r="H408" s="61" t="s">
        <v>233</v>
      </c>
      <c r="I408" s="62" t="s">
        <v>233</v>
      </c>
      <c r="J408" s="63" t="s">
        <v>2404</v>
      </c>
      <c r="K408" s="99"/>
      <c r="L408" s="130">
        <v>491491375</v>
      </c>
      <c r="M408" s="109" t="s">
        <v>564</v>
      </c>
      <c r="N408" s="12" t="s">
        <v>1379</v>
      </c>
      <c r="O408" s="100" t="s">
        <v>2403</v>
      </c>
      <c r="P408" s="131">
        <v>725081446</v>
      </c>
      <c r="Q408" s="67"/>
      <c r="R408" s="68"/>
      <c r="S408" s="99"/>
      <c r="T408" s="65"/>
      <c r="U408" s="170">
        <v>300000</v>
      </c>
      <c r="V408" s="48">
        <f t="shared" si="92"/>
        <v>1734.1040462427745</v>
      </c>
      <c r="W408" s="171">
        <f t="shared" si="93"/>
        <v>764.1468415136527</v>
      </c>
      <c r="X408" s="69">
        <v>6000</v>
      </c>
      <c r="Y408" s="48">
        <f t="shared" si="94"/>
        <v>34.682080924855491</v>
      </c>
      <c r="Z408" s="137">
        <f t="shared" si="95"/>
        <v>15.282936830273053</v>
      </c>
      <c r="AA408" s="69">
        <v>0</v>
      </c>
      <c r="AB408" s="48">
        <f t="shared" si="96"/>
        <v>0</v>
      </c>
      <c r="AC408" s="137">
        <f t="shared" si="97"/>
        <v>0</v>
      </c>
      <c r="AD408" s="70">
        <f t="shared" si="98"/>
        <v>306000</v>
      </c>
      <c r="AE408" s="71">
        <f t="shared" si="99"/>
        <v>1768.78612716763</v>
      </c>
      <c r="AF408" s="193">
        <f t="shared" si="100"/>
        <v>779.4297783439257</v>
      </c>
      <c r="AG408" s="185">
        <f t="shared" si="101"/>
        <v>3.9407598197037992E-2</v>
      </c>
      <c r="AH408" s="180">
        <f t="shared" si="105"/>
        <v>2.2666666666666666</v>
      </c>
      <c r="AI408" s="189">
        <v>173</v>
      </c>
      <c r="AJ408" s="125">
        <v>392.59469999999999</v>
      </c>
      <c r="AK408" s="149">
        <v>89</v>
      </c>
      <c r="AL408" s="221">
        <v>51</v>
      </c>
      <c r="AM408" s="216">
        <v>89.285714285714292</v>
      </c>
      <c r="AN408" s="213">
        <v>27.710843373493976</v>
      </c>
      <c r="AO408" s="127">
        <v>1.5529999999999999</v>
      </c>
      <c r="AP408" s="133">
        <v>2.7E-2</v>
      </c>
      <c r="AQ408" s="224">
        <f t="shared" si="102"/>
        <v>1.3839999999999999</v>
      </c>
      <c r="AR408" s="158">
        <v>125</v>
      </c>
      <c r="AS408" s="229">
        <f t="shared" si="103"/>
        <v>0.56351791530944628</v>
      </c>
      <c r="AT408" s="230">
        <v>307</v>
      </c>
      <c r="AU408" s="203">
        <v>16.76300578034682</v>
      </c>
      <c r="AV408" s="204">
        <v>74.566473988439313</v>
      </c>
      <c r="AW408" s="205">
        <v>8.6705202312138727</v>
      </c>
      <c r="AX408" s="123">
        <v>4.8</v>
      </c>
      <c r="AY408" s="281">
        <v>6.666666666666667</v>
      </c>
      <c r="AZ408" s="282">
        <v>36.666666666666664</v>
      </c>
      <c r="BA408" s="283">
        <f t="shared" si="104"/>
        <v>56.666666666666664</v>
      </c>
      <c r="BB408" s="234">
        <v>92.857142857142847</v>
      </c>
      <c r="BC408" s="20">
        <v>2004</v>
      </c>
      <c r="BD408" s="263" t="s">
        <v>556</v>
      </c>
      <c r="BE408" s="261" t="s">
        <v>556</v>
      </c>
      <c r="BF408" s="260" t="s">
        <v>557</v>
      </c>
      <c r="BG408" s="256">
        <v>21.582733812949641</v>
      </c>
      <c r="BH408" s="254" t="s">
        <v>557</v>
      </c>
      <c r="BI408" s="249">
        <v>0</v>
      </c>
      <c r="BJ408" s="309" t="s">
        <v>557</v>
      </c>
      <c r="BK408" s="307" t="s">
        <v>557</v>
      </c>
      <c r="BL408" s="319" t="s">
        <v>1728</v>
      </c>
      <c r="BM408" s="320" t="s">
        <v>557</v>
      </c>
      <c r="BN408" s="321" t="s">
        <v>1838</v>
      </c>
      <c r="BO408" s="145" t="s">
        <v>557</v>
      </c>
      <c r="BP408" s="14" t="s">
        <v>557</v>
      </c>
      <c r="BQ408" s="14" t="s">
        <v>557</v>
      </c>
      <c r="BR408" s="72"/>
    </row>
    <row r="409" spans="1:70" s="56" customFormat="1" ht="13.95" customHeight="1" x14ac:dyDescent="0.3">
      <c r="A409" s="56" t="s">
        <v>459</v>
      </c>
      <c r="B409" s="57" t="s">
        <v>462</v>
      </c>
      <c r="C409" s="55" t="s">
        <v>210</v>
      </c>
      <c r="D409" s="58">
        <v>2</v>
      </c>
      <c r="E409" s="59" t="s">
        <v>630</v>
      </c>
      <c r="F409" s="60" t="s">
        <v>453</v>
      </c>
      <c r="G409" s="61" t="s">
        <v>169</v>
      </c>
      <c r="H409" s="61" t="s">
        <v>169</v>
      </c>
      <c r="I409" s="62" t="s">
        <v>169</v>
      </c>
      <c r="J409" s="63" t="s">
        <v>2407</v>
      </c>
      <c r="K409" s="101" t="s">
        <v>2406</v>
      </c>
      <c r="L409" s="130">
        <v>493722944</v>
      </c>
      <c r="M409" s="109" t="s">
        <v>537</v>
      </c>
      <c r="N409" s="12" t="s">
        <v>1196</v>
      </c>
      <c r="O409" s="100" t="s">
        <v>1197</v>
      </c>
      <c r="P409" s="131">
        <v>725082501</v>
      </c>
      <c r="Q409" s="67"/>
      <c r="R409" s="68"/>
      <c r="S409" s="99"/>
      <c r="T409" s="65"/>
      <c r="U409" s="170">
        <f>285000+135000</f>
        <v>420000</v>
      </c>
      <c r="V409" s="48">
        <f t="shared" si="92"/>
        <v>1096.6057441253263</v>
      </c>
      <c r="W409" s="171">
        <f t="shared" si="93"/>
        <v>358.45144877541037</v>
      </c>
      <c r="X409" s="69">
        <v>76000</v>
      </c>
      <c r="Y409" s="48">
        <f t="shared" si="94"/>
        <v>198.43342036553526</v>
      </c>
      <c r="Z409" s="137">
        <f t="shared" si="95"/>
        <v>64.862643111740923</v>
      </c>
      <c r="AA409" s="69">
        <v>0</v>
      </c>
      <c r="AB409" s="48">
        <f t="shared" si="96"/>
        <v>0</v>
      </c>
      <c r="AC409" s="137">
        <f t="shared" si="97"/>
        <v>0</v>
      </c>
      <c r="AD409" s="70">
        <f t="shared" si="98"/>
        <v>496000</v>
      </c>
      <c r="AE409" s="71">
        <f t="shared" si="99"/>
        <v>1295.0391644908616</v>
      </c>
      <c r="AF409" s="193">
        <f t="shared" si="100"/>
        <v>423.31409188715133</v>
      </c>
      <c r="AG409" s="185">
        <f t="shared" si="101"/>
        <v>1.4676727326527592E-2</v>
      </c>
      <c r="AH409" s="180">
        <f t="shared" si="105"/>
        <v>8.2323651452282168E-2</v>
      </c>
      <c r="AI409" s="189">
        <v>383</v>
      </c>
      <c r="AJ409" s="125">
        <v>1171.7067999999999</v>
      </c>
      <c r="AK409" s="149">
        <v>217</v>
      </c>
      <c r="AL409" s="221">
        <v>107</v>
      </c>
      <c r="AM409" s="216">
        <v>87.857142857142861</v>
      </c>
      <c r="AN409" s="213">
        <v>27.234042553191493</v>
      </c>
      <c r="AO409" s="127">
        <v>6.7590000000000003</v>
      </c>
      <c r="AP409" s="133">
        <v>1.2050000000000001</v>
      </c>
      <c r="AQ409" s="224">
        <f t="shared" si="102"/>
        <v>1.1037463976945245</v>
      </c>
      <c r="AR409" s="158">
        <v>347</v>
      </c>
      <c r="AS409" s="229">
        <f t="shared" si="103"/>
        <v>0.37112403100775193</v>
      </c>
      <c r="AT409" s="230">
        <v>1032</v>
      </c>
      <c r="AU409" s="203">
        <v>13.577023498694519</v>
      </c>
      <c r="AV409" s="204">
        <v>69.973890339425594</v>
      </c>
      <c r="AW409" s="205">
        <v>16.449086161879894</v>
      </c>
      <c r="AX409" s="123">
        <v>3.3708</v>
      </c>
      <c r="AY409" s="281">
        <v>2.9850746268656714</v>
      </c>
      <c r="AZ409" s="282">
        <v>47.014925373134332</v>
      </c>
      <c r="BA409" s="283">
        <f t="shared" si="104"/>
        <v>50</v>
      </c>
      <c r="BB409" s="234">
        <v>77.631578947368425</v>
      </c>
      <c r="BC409" s="20">
        <v>2012</v>
      </c>
      <c r="BD409" s="264" t="s">
        <v>557</v>
      </c>
      <c r="BE409" s="262" t="s">
        <v>557</v>
      </c>
      <c r="BF409" s="260" t="s">
        <v>557</v>
      </c>
      <c r="BG409" s="256">
        <v>0</v>
      </c>
      <c r="BH409" s="254" t="s">
        <v>557</v>
      </c>
      <c r="BI409" s="249">
        <v>0</v>
      </c>
      <c r="BJ409" s="308" t="s">
        <v>556</v>
      </c>
      <c r="BK409" s="307" t="s">
        <v>750</v>
      </c>
      <c r="BL409" s="319" t="s">
        <v>1728</v>
      </c>
      <c r="BM409" s="320" t="s">
        <v>556</v>
      </c>
      <c r="BN409" s="321" t="s">
        <v>557</v>
      </c>
      <c r="BO409" s="145" t="s">
        <v>557</v>
      </c>
      <c r="BP409" s="14">
        <v>2</v>
      </c>
      <c r="BQ409" s="14" t="s">
        <v>557</v>
      </c>
      <c r="BR409" s="72"/>
    </row>
    <row r="410" spans="1:70" s="72" customFormat="1" ht="13.95" customHeight="1" x14ac:dyDescent="0.3">
      <c r="A410" s="56" t="s">
        <v>459</v>
      </c>
      <c r="B410" s="57" t="s">
        <v>462</v>
      </c>
      <c r="C410" s="55" t="s">
        <v>444</v>
      </c>
      <c r="D410" s="58">
        <v>2</v>
      </c>
      <c r="E410" s="59" t="s">
        <v>741</v>
      </c>
      <c r="F410" s="60" t="s">
        <v>456</v>
      </c>
      <c r="G410" s="61" t="s">
        <v>531</v>
      </c>
      <c r="H410" s="61" t="s">
        <v>531</v>
      </c>
      <c r="I410" s="62" t="s">
        <v>531</v>
      </c>
      <c r="J410" s="63" t="s">
        <v>2399</v>
      </c>
      <c r="K410" s="101" t="s">
        <v>1658</v>
      </c>
      <c r="L410" s="130"/>
      <c r="M410" s="109" t="s">
        <v>537</v>
      </c>
      <c r="N410" s="12" t="s">
        <v>1657</v>
      </c>
      <c r="O410" s="100"/>
      <c r="P410" s="131">
        <v>724180070</v>
      </c>
      <c r="Q410" s="82"/>
      <c r="S410" s="115"/>
      <c r="T410" s="112"/>
      <c r="U410" s="170">
        <v>0</v>
      </c>
      <c r="V410" s="48">
        <f t="shared" si="92"/>
        <v>0</v>
      </c>
      <c r="W410" s="171">
        <f t="shared" si="93"/>
        <v>0</v>
      </c>
      <c r="X410" s="69">
        <v>100000</v>
      </c>
      <c r="Y410" s="48">
        <f t="shared" si="94"/>
        <v>510.20408163265307</v>
      </c>
      <c r="Z410" s="137">
        <f t="shared" si="95"/>
        <v>203.33667347708965</v>
      </c>
      <c r="AA410" s="69">
        <v>0</v>
      </c>
      <c r="AB410" s="48">
        <f t="shared" si="96"/>
        <v>0</v>
      </c>
      <c r="AC410" s="137">
        <f t="shared" si="97"/>
        <v>0</v>
      </c>
      <c r="AD410" s="70">
        <f t="shared" si="98"/>
        <v>100000</v>
      </c>
      <c r="AE410" s="71">
        <f t="shared" si="99"/>
        <v>510.20408163265307</v>
      </c>
      <c r="AF410" s="193">
        <f t="shared" si="100"/>
        <v>203.33667347708965</v>
      </c>
      <c r="AG410" s="185">
        <f t="shared" si="101"/>
        <v>8.271298593879239E-3</v>
      </c>
      <c r="AH410" s="180">
        <f t="shared" si="105"/>
        <v>9.1743119266055037E-2</v>
      </c>
      <c r="AI410" s="189">
        <v>196</v>
      </c>
      <c r="AJ410" s="125">
        <v>491.79520000000002</v>
      </c>
      <c r="AK410" s="149">
        <v>102</v>
      </c>
      <c r="AL410" s="221">
        <v>64</v>
      </c>
      <c r="AM410" s="216">
        <v>90.666666666666657</v>
      </c>
      <c r="AN410" s="213">
        <v>18.867924528301884</v>
      </c>
      <c r="AO410" s="127">
        <v>2.4180000000000001</v>
      </c>
      <c r="AP410" s="133">
        <v>0.218</v>
      </c>
      <c r="AQ410" s="224">
        <f t="shared" si="102"/>
        <v>0.98492462311557794</v>
      </c>
      <c r="AR410" s="158">
        <v>199</v>
      </c>
      <c r="AS410" s="229">
        <f t="shared" si="103"/>
        <v>0.45687645687645689</v>
      </c>
      <c r="AT410" s="230">
        <v>429</v>
      </c>
      <c r="AU410" s="203">
        <v>20.918367346938776</v>
      </c>
      <c r="AV410" s="204">
        <v>58.16326530612244</v>
      </c>
      <c r="AW410" s="205">
        <v>20.918367346938776</v>
      </c>
      <c r="AX410" s="123">
        <v>7.6271000000000004</v>
      </c>
      <c r="AY410" s="281">
        <v>4.1666666666666661</v>
      </c>
      <c r="AZ410" s="282">
        <v>43.055555555555557</v>
      </c>
      <c r="BA410" s="283">
        <f t="shared" si="104"/>
        <v>52.777777777777771</v>
      </c>
      <c r="BB410" s="234">
        <v>89.473684210526315</v>
      </c>
      <c r="BC410" s="20">
        <v>2017</v>
      </c>
      <c r="BD410" s="264" t="s">
        <v>557</v>
      </c>
      <c r="BE410" s="262" t="s">
        <v>557</v>
      </c>
      <c r="BF410" s="260" t="s">
        <v>557</v>
      </c>
      <c r="BG410" s="256">
        <v>0</v>
      </c>
      <c r="BH410" s="248" t="s">
        <v>556</v>
      </c>
      <c r="BI410" s="249">
        <v>53.225806451612897</v>
      </c>
      <c r="BJ410" s="309" t="s">
        <v>557</v>
      </c>
      <c r="BK410" s="307" t="s">
        <v>557</v>
      </c>
      <c r="BL410" s="319" t="s">
        <v>1728</v>
      </c>
      <c r="BM410" s="320" t="s">
        <v>556</v>
      </c>
      <c r="BN410" s="321" t="s">
        <v>1838</v>
      </c>
      <c r="BO410" s="145" t="s">
        <v>557</v>
      </c>
      <c r="BP410" s="14" t="s">
        <v>556</v>
      </c>
      <c r="BQ410" s="14" t="s">
        <v>557</v>
      </c>
      <c r="BR410" s="56"/>
    </row>
    <row r="411" spans="1:70" s="72" customFormat="1" ht="13.95" customHeight="1" x14ac:dyDescent="0.3">
      <c r="A411" s="56" t="s">
        <v>459</v>
      </c>
      <c r="B411" s="57" t="s">
        <v>462</v>
      </c>
      <c r="C411" s="55" t="s">
        <v>105</v>
      </c>
      <c r="D411" s="58">
        <v>4</v>
      </c>
      <c r="E411" s="59" t="s">
        <v>497</v>
      </c>
      <c r="F411" s="60" t="s">
        <v>452</v>
      </c>
      <c r="G411" s="61" t="s">
        <v>7</v>
      </c>
      <c r="H411" s="61" t="s">
        <v>7</v>
      </c>
      <c r="I411" s="62" t="s">
        <v>7</v>
      </c>
      <c r="J411" s="63" t="s">
        <v>2408</v>
      </c>
      <c r="K411" s="99" t="s">
        <v>983</v>
      </c>
      <c r="L411" s="130">
        <v>495496230</v>
      </c>
      <c r="M411" s="109" t="s">
        <v>537</v>
      </c>
      <c r="N411" s="12" t="s">
        <v>982</v>
      </c>
      <c r="O411" s="100"/>
      <c r="P411" s="131" t="s">
        <v>2409</v>
      </c>
      <c r="Q411" s="67"/>
      <c r="R411" s="68"/>
      <c r="S411" s="99"/>
      <c r="T411" s="65"/>
      <c r="U411" s="170">
        <f>430793+270500</f>
        <v>701293</v>
      </c>
      <c r="V411" s="48">
        <f t="shared" si="92"/>
        <v>1673.7303102625299</v>
      </c>
      <c r="W411" s="171">
        <f t="shared" si="93"/>
        <v>650.12124191546741</v>
      </c>
      <c r="X411" s="69">
        <v>58600</v>
      </c>
      <c r="Y411" s="48">
        <f t="shared" si="94"/>
        <v>139.85680190930788</v>
      </c>
      <c r="Z411" s="137">
        <f t="shared" si="95"/>
        <v>54.324091037906257</v>
      </c>
      <c r="AA411" s="69">
        <v>0</v>
      </c>
      <c r="AB411" s="48">
        <f t="shared" si="96"/>
        <v>0</v>
      </c>
      <c r="AC411" s="137">
        <f t="shared" si="97"/>
        <v>0</v>
      </c>
      <c r="AD411" s="70">
        <f t="shared" si="98"/>
        <v>759893</v>
      </c>
      <c r="AE411" s="71">
        <f t="shared" si="99"/>
        <v>1813.5871121718378</v>
      </c>
      <c r="AF411" s="193">
        <f t="shared" si="100"/>
        <v>704.44533295337374</v>
      </c>
      <c r="AG411" s="185">
        <f t="shared" si="101"/>
        <v>1.9869080925611189E-2</v>
      </c>
      <c r="AH411" s="180">
        <f t="shared" si="105"/>
        <v>3.7185857597259606E-2</v>
      </c>
      <c r="AI411" s="189">
        <v>419</v>
      </c>
      <c r="AJ411" s="125">
        <v>1078.7111</v>
      </c>
      <c r="AK411" s="149">
        <v>259</v>
      </c>
      <c r="AL411" s="221">
        <v>146</v>
      </c>
      <c r="AM411" s="216">
        <v>88.023952095808383</v>
      </c>
      <c r="AN411" s="213">
        <v>15.16245487364621</v>
      </c>
      <c r="AO411" s="127">
        <v>7.649</v>
      </c>
      <c r="AP411" s="133">
        <v>4.0869999999999997</v>
      </c>
      <c r="AQ411" s="224">
        <f t="shared" si="102"/>
        <v>0.81996086105675148</v>
      </c>
      <c r="AR411" s="158">
        <v>511</v>
      </c>
      <c r="AS411" s="229">
        <f t="shared" si="103"/>
        <v>0.39828897338403041</v>
      </c>
      <c r="AT411" s="230">
        <v>1052</v>
      </c>
      <c r="AU411" s="203">
        <v>14.797136038186157</v>
      </c>
      <c r="AV411" s="204">
        <v>60.143198090692131</v>
      </c>
      <c r="AW411" s="205">
        <v>25.059665871121716</v>
      </c>
      <c r="AX411" s="123">
        <v>7.4905999999999997</v>
      </c>
      <c r="AY411" s="281">
        <v>16.666666666666664</v>
      </c>
      <c r="AZ411" s="282">
        <v>39.102564102564102</v>
      </c>
      <c r="BA411" s="283">
        <f t="shared" si="104"/>
        <v>44.230769230769241</v>
      </c>
      <c r="BB411" s="234">
        <v>88.888888888888886</v>
      </c>
      <c r="BC411" s="20">
        <v>2009</v>
      </c>
      <c r="BD411" s="263" t="s">
        <v>556</v>
      </c>
      <c r="BE411" s="262" t="s">
        <v>557</v>
      </c>
      <c r="BF411" s="260" t="s">
        <v>557</v>
      </c>
      <c r="BG411" s="256">
        <v>0</v>
      </c>
      <c r="BH411" s="248" t="s">
        <v>556</v>
      </c>
      <c r="BI411" s="249">
        <v>28.921568627450984</v>
      </c>
      <c r="BJ411" s="309" t="s">
        <v>557</v>
      </c>
      <c r="BK411" s="307" t="s">
        <v>557</v>
      </c>
      <c r="BL411" s="319" t="s">
        <v>1728</v>
      </c>
      <c r="BM411" s="320" t="s">
        <v>556</v>
      </c>
      <c r="BN411" s="321" t="s">
        <v>1767</v>
      </c>
      <c r="BO411" s="145" t="s">
        <v>557</v>
      </c>
      <c r="BP411" s="14" t="s">
        <v>557</v>
      </c>
      <c r="BQ411" s="14" t="s">
        <v>557</v>
      </c>
      <c r="BR411" s="56"/>
    </row>
    <row r="412" spans="1:70" s="56" customFormat="1" ht="13.95" customHeight="1" x14ac:dyDescent="0.3">
      <c r="A412" s="56" t="s">
        <v>459</v>
      </c>
      <c r="B412" s="57" t="s">
        <v>462</v>
      </c>
      <c r="C412" s="55" t="s">
        <v>445</v>
      </c>
      <c r="D412" s="58">
        <v>7</v>
      </c>
      <c r="E412" s="59" t="s">
        <v>742</v>
      </c>
      <c r="F412" s="60" t="s">
        <v>456</v>
      </c>
      <c r="G412" s="61" t="s">
        <v>531</v>
      </c>
      <c r="H412" s="61" t="s">
        <v>531</v>
      </c>
      <c r="I412" s="62" t="s">
        <v>531</v>
      </c>
      <c r="J412" s="63" t="s">
        <v>2411</v>
      </c>
      <c r="K412" s="99" t="s">
        <v>2410</v>
      </c>
      <c r="L412" s="130">
        <v>499620320</v>
      </c>
      <c r="M412" s="109" t="s">
        <v>564</v>
      </c>
      <c r="N412" s="12" t="s">
        <v>1659</v>
      </c>
      <c r="O412" s="100" t="s">
        <v>1660</v>
      </c>
      <c r="P412" s="131">
        <v>603868177</v>
      </c>
      <c r="Q412" s="82"/>
      <c r="R412" s="72"/>
      <c r="S412" s="115"/>
      <c r="T412" s="112"/>
      <c r="U412" s="170">
        <v>0</v>
      </c>
      <c r="V412" s="48">
        <f t="shared" si="92"/>
        <v>0</v>
      </c>
      <c r="W412" s="171">
        <f t="shared" si="93"/>
        <v>0</v>
      </c>
      <c r="X412" s="69">
        <v>0</v>
      </c>
      <c r="Y412" s="48">
        <f t="shared" si="94"/>
        <v>0</v>
      </c>
      <c r="Z412" s="137">
        <f t="shared" si="95"/>
        <v>0</v>
      </c>
      <c r="AA412" s="69">
        <v>0</v>
      </c>
      <c r="AB412" s="48">
        <f t="shared" si="96"/>
        <v>0</v>
      </c>
      <c r="AC412" s="137">
        <f t="shared" si="97"/>
        <v>0</v>
      </c>
      <c r="AD412" s="70">
        <f t="shared" si="98"/>
        <v>0</v>
      </c>
      <c r="AE412" s="71">
        <f t="shared" si="99"/>
        <v>0</v>
      </c>
      <c r="AF412" s="193">
        <f t="shared" si="100"/>
        <v>0</v>
      </c>
      <c r="AG412" s="185">
        <f t="shared" si="101"/>
        <v>0</v>
      </c>
      <c r="AH412" s="180">
        <f t="shared" si="105"/>
        <v>0</v>
      </c>
      <c r="AI412" s="189">
        <v>1396</v>
      </c>
      <c r="AJ412" s="125">
        <v>2474.9704999999999</v>
      </c>
      <c r="AK412" s="149">
        <v>583</v>
      </c>
      <c r="AL412" s="221">
        <v>342</v>
      </c>
      <c r="AM412" s="216">
        <v>71.629778672032202</v>
      </c>
      <c r="AN412" s="213">
        <v>18.759018759018758</v>
      </c>
      <c r="AO412" s="127">
        <v>83.549000000000007</v>
      </c>
      <c r="AP412" s="133">
        <v>81.983999999999995</v>
      </c>
      <c r="AQ412" s="224">
        <f t="shared" si="102"/>
        <v>1.0464767616191903</v>
      </c>
      <c r="AR412" s="158">
        <v>1334</v>
      </c>
      <c r="AS412" s="229">
        <f t="shared" si="103"/>
        <v>0.41301775147928993</v>
      </c>
      <c r="AT412" s="230">
        <v>3380</v>
      </c>
      <c r="AU412" s="203">
        <v>16.690544412607451</v>
      </c>
      <c r="AV412" s="204">
        <v>66.762177650429805</v>
      </c>
      <c r="AW412" s="205">
        <v>16.54727793696275</v>
      </c>
      <c r="AX412" s="123">
        <v>9.1693999999999996</v>
      </c>
      <c r="AY412" s="281">
        <v>4.8192771084337354</v>
      </c>
      <c r="AZ412" s="282">
        <v>39.156626506024097</v>
      </c>
      <c r="BA412" s="283">
        <f t="shared" si="104"/>
        <v>56.024096385542165</v>
      </c>
      <c r="BB412" s="234">
        <v>92.737430167597765</v>
      </c>
      <c r="BC412" s="20">
        <v>2002</v>
      </c>
      <c r="BD412" s="263" t="s">
        <v>556</v>
      </c>
      <c r="BE412" s="261" t="s">
        <v>556</v>
      </c>
      <c r="BF412" s="259" t="s">
        <v>556</v>
      </c>
      <c r="BG412" s="257" t="s">
        <v>1686</v>
      </c>
      <c r="BH412" s="254" t="s">
        <v>557</v>
      </c>
      <c r="BI412" s="249">
        <v>0</v>
      </c>
      <c r="BJ412" s="308" t="s">
        <v>556</v>
      </c>
      <c r="BK412" s="307" t="s">
        <v>750</v>
      </c>
      <c r="BL412" s="319" t="s">
        <v>1728</v>
      </c>
      <c r="BM412" s="320" t="s">
        <v>556</v>
      </c>
      <c r="BN412" s="321" t="s">
        <v>1838</v>
      </c>
      <c r="BO412" s="145" t="s">
        <v>998</v>
      </c>
      <c r="BP412" s="14" t="s">
        <v>556</v>
      </c>
      <c r="BQ412" s="14" t="s">
        <v>557</v>
      </c>
    </row>
    <row r="413" spans="1:70" s="72" customFormat="1" ht="13.95" customHeight="1" x14ac:dyDescent="0.3">
      <c r="A413" s="56" t="s">
        <v>459</v>
      </c>
      <c r="B413" s="57" t="s">
        <v>462</v>
      </c>
      <c r="C413" s="55" t="s">
        <v>211</v>
      </c>
      <c r="D413" s="58">
        <v>1</v>
      </c>
      <c r="E413" s="97" t="s">
        <v>753</v>
      </c>
      <c r="F413" s="60" t="s">
        <v>453</v>
      </c>
      <c r="G413" s="61" t="s">
        <v>113</v>
      </c>
      <c r="H413" s="61" t="s">
        <v>113</v>
      </c>
      <c r="I413" s="62" t="s">
        <v>113</v>
      </c>
      <c r="J413" s="63" t="s">
        <v>2400</v>
      </c>
      <c r="K413" s="99" t="s">
        <v>1199</v>
      </c>
      <c r="L413" s="130">
        <v>493555040</v>
      </c>
      <c r="M413" s="109" t="s">
        <v>564</v>
      </c>
      <c r="N413" s="12" t="s">
        <v>1198</v>
      </c>
      <c r="O413" s="100"/>
      <c r="P413" s="131">
        <v>605545357</v>
      </c>
      <c r="Q413" s="67"/>
      <c r="R413" s="68"/>
      <c r="S413" s="99"/>
      <c r="T413" s="65"/>
      <c r="U413" s="170">
        <v>600000</v>
      </c>
      <c r="V413" s="48">
        <f t="shared" si="92"/>
        <v>1714.2857142857142</v>
      </c>
      <c r="W413" s="171">
        <f t="shared" si="93"/>
        <v>1220.7021315900622</v>
      </c>
      <c r="X413" s="69">
        <v>0</v>
      </c>
      <c r="Y413" s="48">
        <f t="shared" si="94"/>
        <v>0</v>
      </c>
      <c r="Z413" s="137">
        <f t="shared" si="95"/>
        <v>0</v>
      </c>
      <c r="AA413" s="69">
        <v>0</v>
      </c>
      <c r="AB413" s="48">
        <f t="shared" si="96"/>
        <v>0</v>
      </c>
      <c r="AC413" s="137">
        <f t="shared" si="97"/>
        <v>0</v>
      </c>
      <c r="AD413" s="70">
        <f t="shared" si="98"/>
        <v>600000</v>
      </c>
      <c r="AE413" s="71">
        <f t="shared" si="99"/>
        <v>1714.2857142857142</v>
      </c>
      <c r="AF413" s="193">
        <f t="shared" si="100"/>
        <v>1220.7021315900622</v>
      </c>
      <c r="AG413" s="185">
        <f t="shared" si="101"/>
        <v>3.2223415682062294E-2</v>
      </c>
      <c r="AH413" s="180">
        <f t="shared" si="105"/>
        <v>0.14652014652014653</v>
      </c>
      <c r="AI413" s="189">
        <v>350</v>
      </c>
      <c r="AJ413" s="125">
        <v>491.5204</v>
      </c>
      <c r="AK413" s="149">
        <v>134</v>
      </c>
      <c r="AL413" s="221">
        <v>97</v>
      </c>
      <c r="AM413" s="216">
        <v>94.545454545454547</v>
      </c>
      <c r="AN413" s="213">
        <v>0.68027210884353739</v>
      </c>
      <c r="AO413" s="127">
        <v>3.7240000000000002</v>
      </c>
      <c r="AP413" s="133">
        <v>0.81899999999999995</v>
      </c>
      <c r="AQ413" s="224">
        <f t="shared" si="102"/>
        <v>1.1513157894736843</v>
      </c>
      <c r="AR413" s="158">
        <v>304</v>
      </c>
      <c r="AS413" s="229">
        <f t="shared" si="103"/>
        <v>0.82352941176470584</v>
      </c>
      <c r="AT413" s="230">
        <v>425</v>
      </c>
      <c r="AU413" s="203">
        <v>16.571428571428569</v>
      </c>
      <c r="AV413" s="204">
        <v>67.142857142857139</v>
      </c>
      <c r="AW413" s="205">
        <v>16.285714285714288</v>
      </c>
      <c r="AX413" s="123">
        <v>3.3755000000000002</v>
      </c>
      <c r="AY413" s="281">
        <v>14.583333333333334</v>
      </c>
      <c r="AZ413" s="282">
        <v>36.111111111111107</v>
      </c>
      <c r="BA413" s="283">
        <f t="shared" si="104"/>
        <v>49.305555555555564</v>
      </c>
      <c r="BB413" s="234">
        <v>85.526315789473685</v>
      </c>
      <c r="BC413" s="20">
        <v>2002</v>
      </c>
      <c r="BD413" s="263" t="s">
        <v>556</v>
      </c>
      <c r="BE413" s="261" t="s">
        <v>556</v>
      </c>
      <c r="BF413" s="259" t="s">
        <v>556</v>
      </c>
      <c r="BG413" s="256">
        <v>83.333333333333343</v>
      </c>
      <c r="BH413" s="248" t="s">
        <v>556</v>
      </c>
      <c r="BI413" s="249">
        <v>56.748466257668717</v>
      </c>
      <c r="BJ413" s="309" t="s">
        <v>557</v>
      </c>
      <c r="BK413" s="307" t="s">
        <v>557</v>
      </c>
      <c r="BL413" s="319" t="s">
        <v>1728</v>
      </c>
      <c r="BM413" s="320" t="s">
        <v>556</v>
      </c>
      <c r="BN413" s="321" t="s">
        <v>557</v>
      </c>
      <c r="BO413" s="145" t="s">
        <v>557</v>
      </c>
      <c r="BP413" s="14" t="s">
        <v>557</v>
      </c>
      <c r="BQ413" s="14" t="s">
        <v>556</v>
      </c>
      <c r="BR413" s="56"/>
    </row>
    <row r="414" spans="1:70" s="56" customFormat="1" ht="13.95" customHeight="1" x14ac:dyDescent="0.3">
      <c r="A414" s="56" t="s">
        <v>459</v>
      </c>
      <c r="B414" s="57" t="s">
        <v>462</v>
      </c>
      <c r="C414" s="55" t="s">
        <v>446</v>
      </c>
      <c r="D414" s="58">
        <v>1</v>
      </c>
      <c r="E414" s="343" t="s">
        <v>1006</v>
      </c>
      <c r="F414" s="60" t="s">
        <v>456</v>
      </c>
      <c r="G414" s="61" t="s">
        <v>378</v>
      </c>
      <c r="H414" s="61" t="s">
        <v>378</v>
      </c>
      <c r="I414" s="62" t="s">
        <v>378</v>
      </c>
      <c r="J414" s="63" t="s">
        <v>2414</v>
      </c>
      <c r="K414" s="101" t="s">
        <v>2412</v>
      </c>
      <c r="L414" s="130">
        <v>499899133</v>
      </c>
      <c r="M414" s="109" t="s">
        <v>537</v>
      </c>
      <c r="N414" s="12" t="s">
        <v>1661</v>
      </c>
      <c r="O414" s="100" t="s">
        <v>1662</v>
      </c>
      <c r="P414" s="131" t="s">
        <v>2413</v>
      </c>
      <c r="Q414" s="84"/>
      <c r="S414" s="105"/>
      <c r="T414" s="112"/>
      <c r="U414" s="170">
        <v>269316</v>
      </c>
      <c r="V414" s="48">
        <f t="shared" si="92"/>
        <v>545.17408906882588</v>
      </c>
      <c r="W414" s="171">
        <f t="shared" si="93"/>
        <v>136.14057769816188</v>
      </c>
      <c r="X414" s="69">
        <v>0</v>
      </c>
      <c r="Y414" s="48">
        <f t="shared" si="94"/>
        <v>0</v>
      </c>
      <c r="Z414" s="137">
        <f t="shared" si="95"/>
        <v>0</v>
      </c>
      <c r="AA414" s="69">
        <v>0</v>
      </c>
      <c r="AB414" s="48">
        <f t="shared" si="96"/>
        <v>0</v>
      </c>
      <c r="AC414" s="137">
        <f t="shared" si="97"/>
        <v>0</v>
      </c>
      <c r="AD414" s="70">
        <f t="shared" si="98"/>
        <v>269316</v>
      </c>
      <c r="AE414" s="71">
        <f t="shared" si="99"/>
        <v>545.17408906882588</v>
      </c>
      <c r="AF414" s="193">
        <f t="shared" si="100"/>
        <v>136.14057769816188</v>
      </c>
      <c r="AG414" s="185">
        <f t="shared" si="101"/>
        <v>8.2840972008612727E-3</v>
      </c>
      <c r="AH414" s="180">
        <f t="shared" si="105"/>
        <v>5.6638485804416411E-2</v>
      </c>
      <c r="AI414" s="189">
        <v>494</v>
      </c>
      <c r="AJ414" s="125">
        <v>1978.2199000000001</v>
      </c>
      <c r="AK414" s="149">
        <v>231</v>
      </c>
      <c r="AL414" s="221">
        <v>131</v>
      </c>
      <c r="AM414" s="216">
        <v>74.566473988439313</v>
      </c>
      <c r="AN414" s="213">
        <v>5.4726368159203975</v>
      </c>
      <c r="AO414" s="127">
        <v>6.5019999999999998</v>
      </c>
      <c r="AP414" s="133">
        <v>0.95099999999999996</v>
      </c>
      <c r="AQ414" s="224">
        <f t="shared" si="102"/>
        <v>1.2443324937027709</v>
      </c>
      <c r="AR414" s="158">
        <v>397</v>
      </c>
      <c r="AS414" s="229">
        <f t="shared" si="103"/>
        <v>0.51619644723092994</v>
      </c>
      <c r="AT414" s="230">
        <v>957</v>
      </c>
      <c r="AU414" s="203">
        <v>17.408906882591094</v>
      </c>
      <c r="AV414" s="204">
        <v>66.194331983805668</v>
      </c>
      <c r="AW414" s="205">
        <v>16.396761133603238</v>
      </c>
      <c r="AX414" s="123">
        <v>6.383</v>
      </c>
      <c r="AY414" s="281">
        <v>2.7027027027027026</v>
      </c>
      <c r="AZ414" s="282">
        <v>34.234234234234236</v>
      </c>
      <c r="BA414" s="283">
        <f t="shared" si="104"/>
        <v>63.063063063063055</v>
      </c>
      <c r="BB414" s="234">
        <v>92</v>
      </c>
      <c r="BC414" s="20">
        <v>2005</v>
      </c>
      <c r="BD414" s="263" t="s">
        <v>556</v>
      </c>
      <c r="BE414" s="262" t="s">
        <v>557</v>
      </c>
      <c r="BF414" s="260" t="s">
        <v>557</v>
      </c>
      <c r="BG414" s="256">
        <v>0</v>
      </c>
      <c r="BH414" s="248" t="s">
        <v>556</v>
      </c>
      <c r="BI414" s="249">
        <v>36.258660508083139</v>
      </c>
      <c r="BJ414" s="308" t="s">
        <v>556</v>
      </c>
      <c r="BK414" s="307" t="s">
        <v>750</v>
      </c>
      <c r="BL414" s="319" t="s">
        <v>1728</v>
      </c>
      <c r="BM414" s="320" t="s">
        <v>556</v>
      </c>
      <c r="BN414" s="321" t="s">
        <v>1957</v>
      </c>
      <c r="BO414" s="145" t="s">
        <v>556</v>
      </c>
      <c r="BP414" s="14" t="s">
        <v>556</v>
      </c>
      <c r="BQ414" s="14" t="s">
        <v>556</v>
      </c>
    </row>
    <row r="415" spans="1:70" s="56" customFormat="1" ht="13.95" customHeight="1" x14ac:dyDescent="0.3">
      <c r="A415" s="56" t="s">
        <v>459</v>
      </c>
      <c r="B415" s="57" t="s">
        <v>462</v>
      </c>
      <c r="C415" s="55" t="s">
        <v>447</v>
      </c>
      <c r="D415" s="58">
        <v>2</v>
      </c>
      <c r="E415" s="59" t="s">
        <v>743</v>
      </c>
      <c r="F415" s="60" t="s">
        <v>456</v>
      </c>
      <c r="G415" s="61" t="s">
        <v>531</v>
      </c>
      <c r="H415" s="61" t="s">
        <v>531</v>
      </c>
      <c r="I415" s="62" t="s">
        <v>531</v>
      </c>
      <c r="J415" s="63" t="s">
        <v>2417</v>
      </c>
      <c r="K415" s="100" t="s">
        <v>2416</v>
      </c>
      <c r="L415" s="131">
        <v>499392126</v>
      </c>
      <c r="M415" s="109" t="s">
        <v>537</v>
      </c>
      <c r="N415" s="12" t="s">
        <v>1663</v>
      </c>
      <c r="O415" s="100" t="s">
        <v>1664</v>
      </c>
      <c r="P415" s="131" t="s">
        <v>2415</v>
      </c>
      <c r="Q415" s="82"/>
      <c r="R415" s="72"/>
      <c r="S415" s="115"/>
      <c r="T415" s="112"/>
      <c r="U415" s="170">
        <v>213500</v>
      </c>
      <c r="V415" s="48">
        <f t="shared" si="92"/>
        <v>551.67958656330745</v>
      </c>
      <c r="W415" s="171">
        <f t="shared" si="93"/>
        <v>180.79262535449325</v>
      </c>
      <c r="X415" s="69">
        <v>0</v>
      </c>
      <c r="Y415" s="48">
        <f t="shared" si="94"/>
        <v>0</v>
      </c>
      <c r="Z415" s="137">
        <f t="shared" si="95"/>
        <v>0</v>
      </c>
      <c r="AA415" s="69">
        <v>0</v>
      </c>
      <c r="AB415" s="48">
        <f t="shared" si="96"/>
        <v>0</v>
      </c>
      <c r="AC415" s="137">
        <f t="shared" si="97"/>
        <v>0</v>
      </c>
      <c r="AD415" s="70">
        <f t="shared" si="98"/>
        <v>213500</v>
      </c>
      <c r="AE415" s="71">
        <f t="shared" si="99"/>
        <v>551.67958656330745</v>
      </c>
      <c r="AF415" s="193">
        <f t="shared" si="100"/>
        <v>180.79262535449325</v>
      </c>
      <c r="AG415" s="185">
        <f t="shared" si="101"/>
        <v>4.3148746968472108E-3</v>
      </c>
      <c r="AH415" s="180">
        <f t="shared" si="105"/>
        <v>8.601933924254632E-3</v>
      </c>
      <c r="AI415" s="189">
        <v>387</v>
      </c>
      <c r="AJ415" s="125">
        <v>1180.9110000000001</v>
      </c>
      <c r="AK415" s="149">
        <v>165</v>
      </c>
      <c r="AL415" s="221">
        <v>106</v>
      </c>
      <c r="AM415" s="216">
        <v>86.764705882352942</v>
      </c>
      <c r="AN415" s="213">
        <v>13.636363636363638</v>
      </c>
      <c r="AO415" s="127">
        <v>9.8960000000000008</v>
      </c>
      <c r="AP415" s="133">
        <v>4.9640000000000004</v>
      </c>
      <c r="AQ415" s="224">
        <f t="shared" si="102"/>
        <v>1.0238095238095237</v>
      </c>
      <c r="AR415" s="158">
        <v>378</v>
      </c>
      <c r="AS415" s="229">
        <f t="shared" si="103"/>
        <v>0.44791666666666669</v>
      </c>
      <c r="AT415" s="230">
        <v>864</v>
      </c>
      <c r="AU415" s="203">
        <v>13.178294573643413</v>
      </c>
      <c r="AV415" s="204">
        <v>68.475452196382435</v>
      </c>
      <c r="AW415" s="205">
        <v>18.34625322997416</v>
      </c>
      <c r="AX415" s="123">
        <v>5.5970000000000004</v>
      </c>
      <c r="AY415" s="281">
        <v>12.258064516129032</v>
      </c>
      <c r="AZ415" s="282">
        <v>34.838709677419352</v>
      </c>
      <c r="BA415" s="283">
        <f t="shared" si="104"/>
        <v>52.903225806451623</v>
      </c>
      <c r="BB415" s="234">
        <v>78.048780487804876</v>
      </c>
      <c r="BC415" s="20">
        <v>2010</v>
      </c>
      <c r="BD415" s="264" t="s">
        <v>557</v>
      </c>
      <c r="BE415" s="262" t="s">
        <v>557</v>
      </c>
      <c r="BF415" s="260" t="s">
        <v>557</v>
      </c>
      <c r="BG415" s="256">
        <v>0</v>
      </c>
      <c r="BH415" s="248" t="s">
        <v>556</v>
      </c>
      <c r="BI415" s="249">
        <v>22.905027932960895</v>
      </c>
      <c r="BJ415" s="309" t="s">
        <v>557</v>
      </c>
      <c r="BK415" s="307" t="s">
        <v>557</v>
      </c>
      <c r="BL415" s="319" t="s">
        <v>1728</v>
      </c>
      <c r="BM415" s="320" t="s">
        <v>556</v>
      </c>
      <c r="BN415" s="321" t="s">
        <v>1838</v>
      </c>
      <c r="BO415" s="145" t="s">
        <v>998</v>
      </c>
      <c r="BP415" s="14" t="s">
        <v>556</v>
      </c>
      <c r="BQ415" s="14" t="s">
        <v>557</v>
      </c>
    </row>
    <row r="416" spans="1:70" s="56" customFormat="1" ht="13.95" customHeight="1" x14ac:dyDescent="0.3">
      <c r="A416" s="3" t="s">
        <v>459</v>
      </c>
      <c r="B416" s="57" t="s">
        <v>462</v>
      </c>
      <c r="C416" s="55" t="s">
        <v>291</v>
      </c>
      <c r="D416" s="58">
        <v>1</v>
      </c>
      <c r="E416" s="59"/>
      <c r="F416" s="60" t="s">
        <v>454</v>
      </c>
      <c r="G416" s="61" t="s">
        <v>242</v>
      </c>
      <c r="H416" s="61" t="s">
        <v>242</v>
      </c>
      <c r="I416" s="62" t="s">
        <v>242</v>
      </c>
      <c r="J416" s="63" t="s">
        <v>2418</v>
      </c>
      <c r="K416" s="100" t="s">
        <v>1381</v>
      </c>
      <c r="L416" s="131">
        <v>491810650</v>
      </c>
      <c r="M416" s="109" t="s">
        <v>564</v>
      </c>
      <c r="N416" s="12" t="s">
        <v>1380</v>
      </c>
      <c r="O416" s="100"/>
      <c r="P416" s="131"/>
      <c r="Q416" s="67"/>
      <c r="R416" s="12"/>
      <c r="S416" s="100"/>
      <c r="T416" s="66"/>
      <c r="U416" s="170">
        <v>0</v>
      </c>
      <c r="V416" s="48">
        <f t="shared" si="92"/>
        <v>0</v>
      </c>
      <c r="W416" s="171">
        <f t="shared" si="93"/>
        <v>0</v>
      </c>
      <c r="X416" s="69">
        <v>86332</v>
      </c>
      <c r="Y416" s="48">
        <f t="shared" si="94"/>
        <v>216.37092731829574</v>
      </c>
      <c r="Z416" s="137">
        <f t="shared" si="95"/>
        <v>164.15221518596229</v>
      </c>
      <c r="AA416" s="69">
        <v>0</v>
      </c>
      <c r="AB416" s="48">
        <f t="shared" si="96"/>
        <v>0</v>
      </c>
      <c r="AC416" s="137">
        <f t="shared" si="97"/>
        <v>0</v>
      </c>
      <c r="AD416" s="70">
        <f t="shared" si="98"/>
        <v>86332</v>
      </c>
      <c r="AE416" s="71">
        <f t="shared" si="99"/>
        <v>216.37092731829574</v>
      </c>
      <c r="AF416" s="193">
        <f t="shared" si="100"/>
        <v>164.15221518596229</v>
      </c>
      <c r="AG416" s="185">
        <f t="shared" si="101"/>
        <v>5.2850933578206302E-3</v>
      </c>
      <c r="AH416" s="180">
        <f t="shared" si="105"/>
        <v>2.182857142857143E-2</v>
      </c>
      <c r="AI416" s="189">
        <v>399</v>
      </c>
      <c r="AJ416" s="125">
        <v>525.92650000000003</v>
      </c>
      <c r="AK416" s="149">
        <v>154</v>
      </c>
      <c r="AL416" s="221">
        <v>115</v>
      </c>
      <c r="AM416" s="216">
        <v>97.777777777777771</v>
      </c>
      <c r="AN416" s="213">
        <v>7.0175438596491233</v>
      </c>
      <c r="AO416" s="127">
        <v>3.2669999999999999</v>
      </c>
      <c r="AP416" s="133">
        <v>0.79100000000000004</v>
      </c>
      <c r="AQ416" s="224">
        <f t="shared" si="102"/>
        <v>1.146551724137931</v>
      </c>
      <c r="AR416" s="158">
        <v>348</v>
      </c>
      <c r="AS416" s="229">
        <f t="shared" si="103"/>
        <v>0.75425330812854441</v>
      </c>
      <c r="AT416" s="230">
        <v>529</v>
      </c>
      <c r="AU416" s="203">
        <v>20.551378446115287</v>
      </c>
      <c r="AV416" s="204">
        <v>62.656641604010034</v>
      </c>
      <c r="AW416" s="205">
        <v>16.791979949874687</v>
      </c>
      <c r="AX416" s="123">
        <v>0.40160000000000001</v>
      </c>
      <c r="AY416" s="281">
        <v>3.7735849056603774</v>
      </c>
      <c r="AZ416" s="282">
        <v>33.333333333333329</v>
      </c>
      <c r="BA416" s="283">
        <f t="shared" si="104"/>
        <v>62.8930817610063</v>
      </c>
      <c r="BB416" s="234">
        <v>96.511627906976742</v>
      </c>
      <c r="BC416" s="19">
        <v>2016</v>
      </c>
      <c r="BD416" s="263" t="s">
        <v>556</v>
      </c>
      <c r="BE416" s="262" t="s">
        <v>557</v>
      </c>
      <c r="BF416" s="260" t="s">
        <v>557</v>
      </c>
      <c r="BG416" s="256">
        <v>0</v>
      </c>
      <c r="BH416" s="248" t="s">
        <v>556</v>
      </c>
      <c r="BI416" s="249">
        <v>86.631016042780757</v>
      </c>
      <c r="BJ416" s="309" t="s">
        <v>557</v>
      </c>
      <c r="BK416" s="307" t="s">
        <v>557</v>
      </c>
      <c r="BL416" s="319" t="s">
        <v>1728</v>
      </c>
      <c r="BM416" s="320" t="s">
        <v>556</v>
      </c>
      <c r="BN416" s="321" t="s">
        <v>1803</v>
      </c>
      <c r="BO416" s="21" t="s">
        <v>557</v>
      </c>
      <c r="BP416" s="10" t="s">
        <v>556</v>
      </c>
      <c r="BQ416" s="10" t="s">
        <v>557</v>
      </c>
      <c r="BR416" s="72"/>
    </row>
    <row r="417" spans="1:70" s="80" customFormat="1" ht="13.95" customHeight="1" x14ac:dyDescent="0.3">
      <c r="A417" s="56" t="s">
        <v>459</v>
      </c>
      <c r="B417" s="57" t="s">
        <v>462</v>
      </c>
      <c r="C417" s="55" t="s">
        <v>372</v>
      </c>
      <c r="D417" s="58">
        <v>6</v>
      </c>
      <c r="E417" s="59" t="s">
        <v>716</v>
      </c>
      <c r="F417" s="60" t="s">
        <v>455</v>
      </c>
      <c r="G417" s="61" t="s">
        <v>528</v>
      </c>
      <c r="H417" s="61" t="s">
        <v>528</v>
      </c>
      <c r="I417" s="62" t="s">
        <v>528</v>
      </c>
      <c r="J417" s="63" t="s">
        <v>2401</v>
      </c>
      <c r="K417" s="99" t="s">
        <v>1526</v>
      </c>
      <c r="L417" s="130">
        <v>494384524</v>
      </c>
      <c r="M417" s="109" t="s">
        <v>564</v>
      </c>
      <c r="N417" s="12" t="s">
        <v>1525</v>
      </c>
      <c r="O417" s="100"/>
      <c r="P417" s="131"/>
      <c r="Q417" s="84"/>
      <c r="R417" s="56"/>
      <c r="S417" s="105"/>
      <c r="T417" s="112"/>
      <c r="U417" s="170">
        <f>76031+51210+600000+433594</f>
        <v>1160835</v>
      </c>
      <c r="V417" s="48">
        <f t="shared" si="92"/>
        <v>1665.4734576757533</v>
      </c>
      <c r="W417" s="171">
        <f t="shared" si="93"/>
        <v>770.78732409142401</v>
      </c>
      <c r="X417" s="69">
        <v>0</v>
      </c>
      <c r="Y417" s="48">
        <f t="shared" si="94"/>
        <v>0</v>
      </c>
      <c r="Z417" s="137">
        <f t="shared" si="95"/>
        <v>0</v>
      </c>
      <c r="AA417" s="69">
        <v>0</v>
      </c>
      <c r="AB417" s="48">
        <f t="shared" si="96"/>
        <v>0</v>
      </c>
      <c r="AC417" s="137">
        <f t="shared" si="97"/>
        <v>0</v>
      </c>
      <c r="AD417" s="70">
        <f t="shared" si="98"/>
        <v>1160835</v>
      </c>
      <c r="AE417" s="71">
        <f t="shared" si="99"/>
        <v>1665.4734576757533</v>
      </c>
      <c r="AF417" s="193">
        <f t="shared" si="100"/>
        <v>770.78732409142401</v>
      </c>
      <c r="AG417" s="185">
        <f t="shared" si="101"/>
        <v>2.7224085365853658E-2</v>
      </c>
      <c r="AH417" s="180">
        <f t="shared" si="105"/>
        <v>0.13281864988558351</v>
      </c>
      <c r="AI417" s="189">
        <v>697</v>
      </c>
      <c r="AJ417" s="125">
        <v>1506.038</v>
      </c>
      <c r="AK417" s="149">
        <v>331</v>
      </c>
      <c r="AL417" s="221">
        <v>203</v>
      </c>
      <c r="AM417" s="216">
        <v>94.73684210526315</v>
      </c>
      <c r="AN417" s="213">
        <v>17.86743515850144</v>
      </c>
      <c r="AO417" s="127">
        <v>8.5280000000000005</v>
      </c>
      <c r="AP417" s="133">
        <v>1.748</v>
      </c>
      <c r="AQ417" s="224">
        <f t="shared" si="102"/>
        <v>1.0924764890282133</v>
      </c>
      <c r="AR417" s="158">
        <v>638</v>
      </c>
      <c r="AS417" s="229">
        <f t="shared" si="103"/>
        <v>0.60398613518197575</v>
      </c>
      <c r="AT417" s="230">
        <v>1154</v>
      </c>
      <c r="AU417" s="203">
        <v>14.347202295552366</v>
      </c>
      <c r="AV417" s="204">
        <v>69.727403156384511</v>
      </c>
      <c r="AW417" s="205">
        <v>15.925394548063126</v>
      </c>
      <c r="AX417" s="123">
        <v>1.8519000000000001</v>
      </c>
      <c r="AY417" s="281">
        <v>10.197368421052632</v>
      </c>
      <c r="AZ417" s="282">
        <v>38.15789473684211</v>
      </c>
      <c r="BA417" s="283">
        <f t="shared" si="104"/>
        <v>51.64473684210526</v>
      </c>
      <c r="BB417" s="234">
        <v>93.548387096774192</v>
      </c>
      <c r="BC417" s="20">
        <v>2009</v>
      </c>
      <c r="BD417" s="263" t="s">
        <v>556</v>
      </c>
      <c r="BE417" s="261" t="s">
        <v>556</v>
      </c>
      <c r="BF417" s="260" t="s">
        <v>557</v>
      </c>
      <c r="BG417" s="256">
        <v>24.423963133640552</v>
      </c>
      <c r="BH417" s="248" t="s">
        <v>556</v>
      </c>
      <c r="BI417" s="249">
        <v>22.296173044925123</v>
      </c>
      <c r="BJ417" s="308" t="s">
        <v>556</v>
      </c>
      <c r="BK417" s="307" t="s">
        <v>556</v>
      </c>
      <c r="BL417" s="319" t="s">
        <v>1728</v>
      </c>
      <c r="BM417" s="320" t="s">
        <v>556</v>
      </c>
      <c r="BN417" s="321" t="s">
        <v>1803</v>
      </c>
      <c r="BO417" s="145" t="s">
        <v>556</v>
      </c>
      <c r="BP417" s="14" t="s">
        <v>556</v>
      </c>
      <c r="BQ417" s="14" t="s">
        <v>557</v>
      </c>
      <c r="BR417" s="56"/>
    </row>
    <row r="418" spans="1:70" s="3" customFormat="1" ht="13.95" customHeight="1" x14ac:dyDescent="0.3">
      <c r="A418" s="3" t="s">
        <v>459</v>
      </c>
      <c r="B418" s="57" t="s">
        <v>462</v>
      </c>
      <c r="C418" s="55" t="s">
        <v>212</v>
      </c>
      <c r="D418" s="58">
        <v>1</v>
      </c>
      <c r="E418" s="59"/>
      <c r="F418" s="60" t="s">
        <v>453</v>
      </c>
      <c r="G418" s="61" t="s">
        <v>113</v>
      </c>
      <c r="H418" s="61" t="s">
        <v>113</v>
      </c>
      <c r="I418" s="62" t="s">
        <v>156</v>
      </c>
      <c r="J418" s="117" t="s">
        <v>2419</v>
      </c>
      <c r="K418" s="100" t="s">
        <v>1201</v>
      </c>
      <c r="L418" s="131">
        <v>493592212</v>
      </c>
      <c r="M418" s="109" t="s">
        <v>537</v>
      </c>
      <c r="N418" s="12" t="s">
        <v>1200</v>
      </c>
      <c r="O418" s="100"/>
      <c r="P418" s="131">
        <v>739422505</v>
      </c>
      <c r="Q418" s="67"/>
      <c r="R418" s="12"/>
      <c r="S418" s="100"/>
      <c r="T418" s="66"/>
      <c r="U418" s="170">
        <v>0</v>
      </c>
      <c r="V418" s="48">
        <f t="shared" si="92"/>
        <v>0</v>
      </c>
      <c r="W418" s="171">
        <f t="shared" si="93"/>
        <v>0</v>
      </c>
      <c r="X418" s="69">
        <v>10000</v>
      </c>
      <c r="Y418" s="48">
        <f t="shared" si="94"/>
        <v>43.668122270742359</v>
      </c>
      <c r="Z418" s="137">
        <f t="shared" si="95"/>
        <v>16.096170109476493</v>
      </c>
      <c r="AA418" s="69">
        <v>0</v>
      </c>
      <c r="AB418" s="48">
        <f t="shared" si="96"/>
        <v>0</v>
      </c>
      <c r="AC418" s="137">
        <f t="shared" si="97"/>
        <v>0</v>
      </c>
      <c r="AD418" s="70">
        <f t="shared" si="98"/>
        <v>10000</v>
      </c>
      <c r="AE418" s="71">
        <f t="shared" si="99"/>
        <v>43.668122270742359</v>
      </c>
      <c r="AF418" s="193">
        <f t="shared" si="100"/>
        <v>16.096170109476493</v>
      </c>
      <c r="AG418" s="185">
        <f t="shared" si="101"/>
        <v>3.2216494845360824E-4</v>
      </c>
      <c r="AH418" s="180">
        <f t="shared" si="105"/>
        <v>5.9189109203906483E-4</v>
      </c>
      <c r="AI418" s="189">
        <v>229</v>
      </c>
      <c r="AJ418" s="125">
        <v>621.26580000000001</v>
      </c>
      <c r="AK418" s="149">
        <v>151</v>
      </c>
      <c r="AL418" s="221">
        <v>66</v>
      </c>
      <c r="AM418" s="216">
        <v>91.780821917808225</v>
      </c>
      <c r="AN418" s="213">
        <v>36.619718309859159</v>
      </c>
      <c r="AO418" s="127">
        <v>6.2080000000000002</v>
      </c>
      <c r="AP418" s="133">
        <v>3.379</v>
      </c>
      <c r="AQ418" s="224">
        <f t="shared" si="102"/>
        <v>0.86090225563909772</v>
      </c>
      <c r="AR418" s="158">
        <v>266</v>
      </c>
      <c r="AS418" s="229">
        <f t="shared" si="103"/>
        <v>0.35837245696400627</v>
      </c>
      <c r="AT418" s="230">
        <v>639</v>
      </c>
      <c r="AU418" s="203">
        <v>13.537117903930133</v>
      </c>
      <c r="AV418" s="204">
        <v>68.558951965065489</v>
      </c>
      <c r="AW418" s="205">
        <v>17.903930131004365</v>
      </c>
      <c r="AX418" s="123">
        <v>3.1846999999999999</v>
      </c>
      <c r="AY418" s="281">
        <v>24.175824175824175</v>
      </c>
      <c r="AZ418" s="282">
        <v>38.461538461538467</v>
      </c>
      <c r="BA418" s="283">
        <f t="shared" si="104"/>
        <v>37.362637362637358</v>
      </c>
      <c r="BB418" s="234">
        <v>65.714285714285722</v>
      </c>
      <c r="BC418" s="19">
        <v>2016</v>
      </c>
      <c r="BD418" s="263" t="s">
        <v>556</v>
      </c>
      <c r="BE418" s="261" t="s">
        <v>556</v>
      </c>
      <c r="BF418" s="259" t="s">
        <v>556</v>
      </c>
      <c r="BG418" s="257" t="s">
        <v>1686</v>
      </c>
      <c r="BH418" s="254" t="s">
        <v>557</v>
      </c>
      <c r="BI418" s="249">
        <v>0</v>
      </c>
      <c r="BJ418" s="308" t="s">
        <v>556</v>
      </c>
      <c r="BK418" s="307" t="s">
        <v>557</v>
      </c>
      <c r="BL418" s="319" t="s">
        <v>1728</v>
      </c>
      <c r="BM418" s="320" t="s">
        <v>557</v>
      </c>
      <c r="BN418" s="321" t="s">
        <v>557</v>
      </c>
      <c r="BO418" s="21" t="s">
        <v>557</v>
      </c>
      <c r="BP418" s="10" t="s">
        <v>556</v>
      </c>
      <c r="BQ418" s="10" t="s">
        <v>557</v>
      </c>
    </row>
    <row r="419" spans="1:70" s="80" customFormat="1" ht="13.95" customHeight="1" x14ac:dyDescent="0.3">
      <c r="A419" s="56" t="s">
        <v>459</v>
      </c>
      <c r="B419" s="57" t="s">
        <v>462</v>
      </c>
      <c r="C419" s="55" t="s">
        <v>213</v>
      </c>
      <c r="D419" s="58">
        <v>2</v>
      </c>
      <c r="E419" s="59" t="s">
        <v>631</v>
      </c>
      <c r="F419" s="60" t="s">
        <v>453</v>
      </c>
      <c r="G419" s="61" t="s">
        <v>113</v>
      </c>
      <c r="H419" s="61" t="s">
        <v>113</v>
      </c>
      <c r="I419" s="62" t="s">
        <v>156</v>
      </c>
      <c r="J419" s="63" t="s">
        <v>2420</v>
      </c>
      <c r="K419" s="100" t="s">
        <v>2509</v>
      </c>
      <c r="L419" s="130">
        <v>493555187</v>
      </c>
      <c r="M419" s="109" t="s">
        <v>564</v>
      </c>
      <c r="N419" s="12" t="s">
        <v>1202</v>
      </c>
      <c r="O419" s="100"/>
      <c r="P419" s="131">
        <v>723948104</v>
      </c>
      <c r="Q419" s="67"/>
      <c r="R419" s="68"/>
      <c r="S419" s="99"/>
      <c r="T419" s="65"/>
      <c r="U419" s="170">
        <v>77371</v>
      </c>
      <c r="V419" s="48">
        <f t="shared" si="92"/>
        <v>533.59310344827588</v>
      </c>
      <c r="W419" s="171">
        <f t="shared" si="93"/>
        <v>116.25708998305677</v>
      </c>
      <c r="X419" s="69">
        <v>0</v>
      </c>
      <c r="Y419" s="48">
        <f t="shared" si="94"/>
        <v>0</v>
      </c>
      <c r="Z419" s="137">
        <f t="shared" si="95"/>
        <v>0</v>
      </c>
      <c r="AA419" s="69">
        <v>0</v>
      </c>
      <c r="AB419" s="48">
        <f t="shared" si="96"/>
        <v>0</v>
      </c>
      <c r="AC419" s="137">
        <f t="shared" si="97"/>
        <v>0</v>
      </c>
      <c r="AD419" s="70">
        <f t="shared" si="98"/>
        <v>77371</v>
      </c>
      <c r="AE419" s="71">
        <f t="shared" si="99"/>
        <v>533.59310344827588</v>
      </c>
      <c r="AF419" s="193">
        <f t="shared" si="100"/>
        <v>116.25708998305677</v>
      </c>
      <c r="AG419" s="185">
        <f t="shared" si="101"/>
        <v>3.4234955752212395E-3</v>
      </c>
      <c r="AH419" s="180">
        <f t="shared" si="105"/>
        <v>4.4917851959361396E-3</v>
      </c>
      <c r="AI419" s="189">
        <v>145</v>
      </c>
      <c r="AJ419" s="125">
        <v>665.51639999999998</v>
      </c>
      <c r="AK419" s="149">
        <v>114</v>
      </c>
      <c r="AL419" s="221">
        <v>45</v>
      </c>
      <c r="AM419" s="216">
        <v>100</v>
      </c>
      <c r="AN419" s="213">
        <v>42.857142857142854</v>
      </c>
      <c r="AO419" s="127">
        <v>4.5199999999999996</v>
      </c>
      <c r="AP419" s="133">
        <v>3.4449999999999998</v>
      </c>
      <c r="AQ419" s="224">
        <f t="shared" si="102"/>
        <v>1.0507246376811594</v>
      </c>
      <c r="AR419" s="158">
        <v>138</v>
      </c>
      <c r="AS419" s="229">
        <f t="shared" si="103"/>
        <v>0.29116465863453816</v>
      </c>
      <c r="AT419" s="230">
        <v>498</v>
      </c>
      <c r="AU419" s="203">
        <v>16.551724137931036</v>
      </c>
      <c r="AV419" s="204">
        <v>57.241379310344826</v>
      </c>
      <c r="AW419" s="205">
        <v>26.206896551724139</v>
      </c>
      <c r="AX419" s="123">
        <v>3.8462000000000001</v>
      </c>
      <c r="AY419" s="281">
        <v>20</v>
      </c>
      <c r="AZ419" s="282">
        <v>30</v>
      </c>
      <c r="BA419" s="283">
        <f t="shared" si="104"/>
        <v>50</v>
      </c>
      <c r="BB419" s="234">
        <v>85.714285714285722</v>
      </c>
      <c r="BC419" s="19">
        <v>2016</v>
      </c>
      <c r="BD419" s="263" t="s">
        <v>556</v>
      </c>
      <c r="BE419" s="262" t="s">
        <v>557</v>
      </c>
      <c r="BF419" s="260" t="s">
        <v>557</v>
      </c>
      <c r="BG419" s="256">
        <v>0</v>
      </c>
      <c r="BH419" s="248" t="s">
        <v>556</v>
      </c>
      <c r="BI419" s="249">
        <v>49.532710280373834</v>
      </c>
      <c r="BJ419" s="309" t="s">
        <v>557</v>
      </c>
      <c r="BK419" s="307" t="s">
        <v>557</v>
      </c>
      <c r="BL419" s="319" t="s">
        <v>1728</v>
      </c>
      <c r="BM419" s="320" t="s">
        <v>556</v>
      </c>
      <c r="BN419" s="321" t="s">
        <v>557</v>
      </c>
      <c r="BO419" s="145" t="s">
        <v>557</v>
      </c>
      <c r="BP419" s="10" t="s">
        <v>557</v>
      </c>
      <c r="BQ419" s="10" t="s">
        <v>557</v>
      </c>
      <c r="BR419" s="56"/>
    </row>
    <row r="420" spans="1:70" s="3" customFormat="1" ht="13.95" customHeight="1" x14ac:dyDescent="0.3">
      <c r="A420" s="56" t="s">
        <v>459</v>
      </c>
      <c r="B420" s="57" t="s">
        <v>462</v>
      </c>
      <c r="C420" s="55" t="s">
        <v>213</v>
      </c>
      <c r="D420" s="58">
        <v>2</v>
      </c>
      <c r="E420" s="59" t="s">
        <v>717</v>
      </c>
      <c r="F420" s="60" t="s">
        <v>455</v>
      </c>
      <c r="G420" s="61" t="s">
        <v>529</v>
      </c>
      <c r="H420" s="61" t="s">
        <v>529</v>
      </c>
      <c r="I420" s="62" t="s">
        <v>529</v>
      </c>
      <c r="J420" s="63" t="s">
        <v>2421</v>
      </c>
      <c r="K420" s="99" t="s">
        <v>1528</v>
      </c>
      <c r="L420" s="130">
        <v>494547008</v>
      </c>
      <c r="M420" s="109" t="s">
        <v>537</v>
      </c>
      <c r="N420" s="12" t="s">
        <v>1527</v>
      </c>
      <c r="O420" s="100"/>
      <c r="P420" s="131">
        <v>721640484</v>
      </c>
      <c r="Q420" s="82"/>
      <c r="R420" s="72"/>
      <c r="S420" s="115"/>
      <c r="T420" s="112"/>
      <c r="U420" s="170">
        <f>90000+167500</f>
        <v>257500</v>
      </c>
      <c r="V420" s="48">
        <f t="shared" si="92"/>
        <v>1716.6666666666667</v>
      </c>
      <c r="W420" s="171">
        <f t="shared" si="93"/>
        <v>1060.8372663274185</v>
      </c>
      <c r="X420" s="69">
        <v>0</v>
      </c>
      <c r="Y420" s="48">
        <f t="shared" si="94"/>
        <v>0</v>
      </c>
      <c r="Z420" s="137">
        <f t="shared" si="95"/>
        <v>0</v>
      </c>
      <c r="AA420" s="69">
        <v>250000</v>
      </c>
      <c r="AB420" s="48">
        <f t="shared" si="96"/>
        <v>1666.6666666666667</v>
      </c>
      <c r="AC420" s="137">
        <f t="shared" si="97"/>
        <v>1029.9390935217655</v>
      </c>
      <c r="AD420" s="70">
        <f t="shared" si="98"/>
        <v>507500</v>
      </c>
      <c r="AE420" s="71">
        <f t="shared" si="99"/>
        <v>3383.3333333333335</v>
      </c>
      <c r="AF420" s="193">
        <f t="shared" si="100"/>
        <v>2090.7763598491838</v>
      </c>
      <c r="AG420" s="185">
        <f t="shared" si="101"/>
        <v>3.7138675448225397E-2</v>
      </c>
      <c r="AH420" s="180">
        <f t="shared" si="105"/>
        <v>2.2065217391304346</v>
      </c>
      <c r="AI420" s="189">
        <v>150</v>
      </c>
      <c r="AJ420" s="125">
        <v>242.7328</v>
      </c>
      <c r="AK420" s="149">
        <v>65</v>
      </c>
      <c r="AL420" s="221">
        <v>37</v>
      </c>
      <c r="AM420" s="216">
        <v>100</v>
      </c>
      <c r="AN420" s="213">
        <v>10.144927536231883</v>
      </c>
      <c r="AO420" s="127">
        <v>2.7330000000000001</v>
      </c>
      <c r="AP420" s="133">
        <v>4.5999999999999999E-2</v>
      </c>
      <c r="AQ420" s="224">
        <f t="shared" si="102"/>
        <v>1.2195121951219512</v>
      </c>
      <c r="AR420" s="158">
        <v>123</v>
      </c>
      <c r="AS420" s="229">
        <f t="shared" si="103"/>
        <v>0.65502183406113534</v>
      </c>
      <c r="AT420" s="230">
        <v>229</v>
      </c>
      <c r="AU420" s="203">
        <v>16.666666666666664</v>
      </c>
      <c r="AV420" s="204">
        <v>63.333333333333343</v>
      </c>
      <c r="AW420" s="205">
        <v>20</v>
      </c>
      <c r="AX420" s="123">
        <v>0</v>
      </c>
      <c r="AY420" s="281">
        <v>23.728813559322035</v>
      </c>
      <c r="AZ420" s="282">
        <v>32.20338983050847</v>
      </c>
      <c r="BA420" s="283">
        <f t="shared" si="104"/>
        <v>44.067796610169495</v>
      </c>
      <c r="BB420" s="234">
        <v>83.333333333333343</v>
      </c>
      <c r="BC420" s="20">
        <v>2014</v>
      </c>
      <c r="BD420" s="263" t="s">
        <v>556</v>
      </c>
      <c r="BE420" s="262" t="s">
        <v>557</v>
      </c>
      <c r="BF420" s="260" t="s">
        <v>557</v>
      </c>
      <c r="BG420" s="256">
        <v>0</v>
      </c>
      <c r="BH420" s="248" t="s">
        <v>556</v>
      </c>
      <c r="BI420" s="249">
        <v>32.575757575757578</v>
      </c>
      <c r="BJ420" s="309" t="s">
        <v>557</v>
      </c>
      <c r="BK420" s="307" t="s">
        <v>557</v>
      </c>
      <c r="BL420" s="319" t="s">
        <v>1728</v>
      </c>
      <c r="BM420" s="320" t="s">
        <v>556</v>
      </c>
      <c r="BN420" s="321" t="s">
        <v>557</v>
      </c>
      <c r="BO420" s="145" t="s">
        <v>557</v>
      </c>
      <c r="BP420" s="14" t="s">
        <v>557</v>
      </c>
      <c r="BQ420" s="14" t="s">
        <v>557</v>
      </c>
      <c r="BR420" s="56"/>
    </row>
    <row r="421" spans="1:70" s="56" customFormat="1" ht="13.95" customHeight="1" x14ac:dyDescent="0.3">
      <c r="A421" s="3" t="s">
        <v>460</v>
      </c>
      <c r="B421" s="77" t="s">
        <v>464</v>
      </c>
      <c r="C421" s="74" t="s">
        <v>389</v>
      </c>
      <c r="D421" s="58">
        <v>3</v>
      </c>
      <c r="E421" s="96" t="s">
        <v>744</v>
      </c>
      <c r="F421" s="60" t="s">
        <v>456</v>
      </c>
      <c r="G421" s="75" t="s">
        <v>389</v>
      </c>
      <c r="H421" s="75" t="s">
        <v>389</v>
      </c>
      <c r="I421" s="76" t="s">
        <v>389</v>
      </c>
      <c r="J421" s="117" t="s">
        <v>2422</v>
      </c>
      <c r="K421" s="100" t="s">
        <v>2423</v>
      </c>
      <c r="L421" s="131">
        <v>499405311</v>
      </c>
      <c r="M421" s="109" t="s">
        <v>564</v>
      </c>
      <c r="N421" s="12" t="s">
        <v>899</v>
      </c>
      <c r="O421" s="100" t="s">
        <v>900</v>
      </c>
      <c r="P421" s="131" t="s">
        <v>2424</v>
      </c>
      <c r="Q421" s="84"/>
      <c r="R421" s="3"/>
      <c r="S421" s="2"/>
      <c r="T421" s="241"/>
      <c r="U421" s="172">
        <v>0</v>
      </c>
      <c r="V421" s="135">
        <f t="shared" si="92"/>
        <v>0</v>
      </c>
      <c r="W421" s="173">
        <f t="shared" si="93"/>
        <v>0</v>
      </c>
      <c r="X421" s="69">
        <f>2628529+25000+14000+112000+10000</f>
        <v>2789529</v>
      </c>
      <c r="Y421" s="48">
        <f t="shared" si="94"/>
        <v>222.87703739213805</v>
      </c>
      <c r="Z421" s="137">
        <f t="shared" si="95"/>
        <v>1008.5070180440439</v>
      </c>
      <c r="AA421" s="69">
        <f>1168970+350000</f>
        <v>1518970</v>
      </c>
      <c r="AB421" s="48">
        <f t="shared" si="96"/>
        <v>121.36225631192075</v>
      </c>
      <c r="AC421" s="137">
        <f t="shared" si="97"/>
        <v>549.1579062982895</v>
      </c>
      <c r="AD421" s="70">
        <f t="shared" si="98"/>
        <v>4308499</v>
      </c>
      <c r="AE421" s="71">
        <f t="shared" si="99"/>
        <v>344.23929370405881</v>
      </c>
      <c r="AF421" s="193">
        <f t="shared" si="100"/>
        <v>1557.6649243423335</v>
      </c>
      <c r="AG421" s="185">
        <f t="shared" si="101"/>
        <v>3.0951415927932069E-3</v>
      </c>
      <c r="AH421" s="180">
        <f t="shared" si="105"/>
        <v>1.4673474670072371E-2</v>
      </c>
      <c r="AI421" s="189">
        <v>12516</v>
      </c>
      <c r="AJ421" s="126">
        <v>2765.9985999999999</v>
      </c>
      <c r="AK421" s="150">
        <v>2568</v>
      </c>
      <c r="AL421" s="221">
        <v>1898</v>
      </c>
      <c r="AM421" s="216">
        <v>34.869312681510166</v>
      </c>
      <c r="AN421" s="213">
        <v>2.6162790697674416</v>
      </c>
      <c r="AO421" s="128">
        <v>278.404</v>
      </c>
      <c r="AP421" s="134">
        <v>58.725000000000001</v>
      </c>
      <c r="AQ421" s="224">
        <f t="shared" si="102"/>
        <v>0.93291592128801426</v>
      </c>
      <c r="AR421" s="158">
        <v>13416</v>
      </c>
      <c r="AS421" s="229">
        <f t="shared" si="103"/>
        <v>1.165580182529335</v>
      </c>
      <c r="AT421" s="230">
        <v>10738</v>
      </c>
      <c r="AU421" s="203">
        <v>15.284435922019815</v>
      </c>
      <c r="AV421" s="204">
        <v>64.285714285714292</v>
      </c>
      <c r="AW421" s="205">
        <v>20.429849792265902</v>
      </c>
      <c r="AX421" s="123">
        <v>4.5172999999999996</v>
      </c>
      <c r="AY421" s="281">
        <v>1.0329131652661063</v>
      </c>
      <c r="AZ421" s="282">
        <v>37.797619047619044</v>
      </c>
      <c r="BA421" s="283">
        <f t="shared" si="104"/>
        <v>61.169467787114847</v>
      </c>
      <c r="BB421" s="234">
        <v>27.916827108201772</v>
      </c>
      <c r="BC421" s="19">
        <v>2008</v>
      </c>
      <c r="BD421" s="263" t="s">
        <v>556</v>
      </c>
      <c r="BE421" s="261" t="s">
        <v>556</v>
      </c>
      <c r="BF421" s="259" t="s">
        <v>556</v>
      </c>
      <c r="BG421" s="256">
        <v>79.435055922932492</v>
      </c>
      <c r="BH421" s="248" t="s">
        <v>556</v>
      </c>
      <c r="BI421" s="249">
        <v>77.588443906236478</v>
      </c>
      <c r="BJ421" s="311" t="s">
        <v>1717</v>
      </c>
      <c r="BK421" s="307" t="s">
        <v>556</v>
      </c>
      <c r="BL421" s="319" t="s">
        <v>1777</v>
      </c>
      <c r="BM421" s="320" t="s">
        <v>556</v>
      </c>
      <c r="BN421" s="321" t="s">
        <v>2425</v>
      </c>
      <c r="BO421" s="21" t="s">
        <v>556</v>
      </c>
      <c r="BP421" s="10" t="s">
        <v>556</v>
      </c>
      <c r="BQ421" s="10" t="s">
        <v>556</v>
      </c>
      <c r="BR421" s="80"/>
    </row>
    <row r="422" spans="1:70" s="56" customFormat="1" ht="13.95" customHeight="1" x14ac:dyDescent="0.3">
      <c r="A422" s="56" t="s">
        <v>459</v>
      </c>
      <c r="B422" s="57" t="s">
        <v>462</v>
      </c>
      <c r="C422" s="55" t="s">
        <v>106</v>
      </c>
      <c r="D422" s="58">
        <v>1</v>
      </c>
      <c r="E422" s="59"/>
      <c r="F422" s="60" t="s">
        <v>452</v>
      </c>
      <c r="G422" s="61" t="s">
        <v>11</v>
      </c>
      <c r="H422" s="61" t="s">
        <v>13</v>
      </c>
      <c r="I422" s="62" t="s">
        <v>13</v>
      </c>
      <c r="J422" s="63" t="s">
        <v>2427</v>
      </c>
      <c r="K422" s="99" t="s">
        <v>2426</v>
      </c>
      <c r="L422" s="130">
        <v>603715543</v>
      </c>
      <c r="M422" s="109" t="s">
        <v>564</v>
      </c>
      <c r="N422" s="12" t="s">
        <v>984</v>
      </c>
      <c r="O422" s="100" t="s">
        <v>985</v>
      </c>
      <c r="P422" s="131">
        <v>603970359</v>
      </c>
      <c r="Q422" s="67"/>
      <c r="R422" s="68"/>
      <c r="S422" s="99"/>
      <c r="T422" s="65"/>
      <c r="U422" s="170">
        <v>0</v>
      </c>
      <c r="V422" s="48">
        <f t="shared" si="92"/>
        <v>0</v>
      </c>
      <c r="W422" s="171">
        <f t="shared" si="93"/>
        <v>0</v>
      </c>
      <c r="X422" s="69">
        <v>0</v>
      </c>
      <c r="Y422" s="48">
        <f t="shared" si="94"/>
        <v>0</v>
      </c>
      <c r="Z422" s="137">
        <f t="shared" si="95"/>
        <v>0</v>
      </c>
      <c r="AA422" s="69">
        <v>0</v>
      </c>
      <c r="AB422" s="48">
        <f t="shared" si="96"/>
        <v>0</v>
      </c>
      <c r="AC422" s="137">
        <f t="shared" si="97"/>
        <v>0</v>
      </c>
      <c r="AD422" s="70">
        <f t="shared" si="98"/>
        <v>0</v>
      </c>
      <c r="AE422" s="71">
        <f t="shared" si="99"/>
        <v>0</v>
      </c>
      <c r="AF422" s="193">
        <f t="shared" si="100"/>
        <v>0</v>
      </c>
      <c r="AG422" s="185">
        <f t="shared" si="101"/>
        <v>0</v>
      </c>
      <c r="AH422" s="180">
        <f t="shared" si="105"/>
        <v>0</v>
      </c>
      <c r="AI422" s="189">
        <v>66</v>
      </c>
      <c r="AJ422" s="125">
        <v>151.59520000000001</v>
      </c>
      <c r="AK422" s="149">
        <v>24</v>
      </c>
      <c r="AL422" s="221">
        <v>21</v>
      </c>
      <c r="AM422" s="216">
        <v>100</v>
      </c>
      <c r="AN422" s="213">
        <v>0</v>
      </c>
      <c r="AO422" s="127">
        <v>0.78700000000000003</v>
      </c>
      <c r="AP422" s="133">
        <v>0.35599999999999998</v>
      </c>
      <c r="AQ422" s="224">
        <f t="shared" si="102"/>
        <v>1.0153846153846153</v>
      </c>
      <c r="AR422" s="158">
        <v>65</v>
      </c>
      <c r="AS422" s="229">
        <f t="shared" si="103"/>
        <v>0.5</v>
      </c>
      <c r="AT422" s="230">
        <v>132</v>
      </c>
      <c r="AU422" s="203">
        <v>9.0909090909090917</v>
      </c>
      <c r="AV422" s="204">
        <v>71.212121212121218</v>
      </c>
      <c r="AW422" s="205">
        <v>19.696969696969695</v>
      </c>
      <c r="AX422" s="123">
        <v>2.1276999999999999</v>
      </c>
      <c r="AY422" s="281">
        <v>13.043478260869565</v>
      </c>
      <c r="AZ422" s="282">
        <v>21.739130434782609</v>
      </c>
      <c r="BA422" s="283">
        <f t="shared" si="104"/>
        <v>65.217391304347828</v>
      </c>
      <c r="BB422" s="234">
        <v>94.444444444444443</v>
      </c>
      <c r="BC422" s="20" t="s">
        <v>557</v>
      </c>
      <c r="BD422" s="263" t="s">
        <v>556</v>
      </c>
      <c r="BE422" s="261" t="s">
        <v>556</v>
      </c>
      <c r="BF422" s="259" t="s">
        <v>556</v>
      </c>
      <c r="BG422" s="257" t="s">
        <v>1686</v>
      </c>
      <c r="BH422" s="248" t="s">
        <v>556</v>
      </c>
      <c r="BI422" s="249">
        <v>40.74074074074074</v>
      </c>
      <c r="BJ422" s="309" t="s">
        <v>557</v>
      </c>
      <c r="BK422" s="307" t="s">
        <v>557</v>
      </c>
      <c r="BL422" s="319" t="s">
        <v>557</v>
      </c>
      <c r="BM422" s="320" t="s">
        <v>557</v>
      </c>
      <c r="BN422" s="321" t="s">
        <v>557</v>
      </c>
      <c r="BO422" s="145" t="s">
        <v>557</v>
      </c>
      <c r="BP422" s="14" t="s">
        <v>557</v>
      </c>
      <c r="BQ422" s="14" t="s">
        <v>557</v>
      </c>
    </row>
    <row r="423" spans="1:70" s="56" customFormat="1" ht="13.95" customHeight="1" x14ac:dyDescent="0.3">
      <c r="A423" s="3" t="s">
        <v>459</v>
      </c>
      <c r="B423" s="57" t="s">
        <v>462</v>
      </c>
      <c r="C423" s="55" t="s">
        <v>214</v>
      </c>
      <c r="D423" s="58">
        <v>1</v>
      </c>
      <c r="E423" s="59"/>
      <c r="F423" s="60" t="s">
        <v>453</v>
      </c>
      <c r="G423" s="61" t="s">
        <v>113</v>
      </c>
      <c r="H423" s="61" t="s">
        <v>114</v>
      </c>
      <c r="I423" s="62" t="s">
        <v>114</v>
      </c>
      <c r="J423" s="117" t="s">
        <v>2428</v>
      </c>
      <c r="K423" s="100" t="s">
        <v>1204</v>
      </c>
      <c r="L423" s="131">
        <v>493522223</v>
      </c>
      <c r="M423" s="109" t="s">
        <v>564</v>
      </c>
      <c r="N423" s="12" t="s">
        <v>1203</v>
      </c>
      <c r="O423" s="100"/>
      <c r="P423" s="131">
        <v>737467458</v>
      </c>
      <c r="Q423" s="67"/>
      <c r="R423" s="12"/>
      <c r="S423" s="100"/>
      <c r="T423" s="66"/>
      <c r="U423" s="170">
        <v>399900</v>
      </c>
      <c r="V423" s="48">
        <f t="shared" si="92"/>
        <v>1785.2678571428571</v>
      </c>
      <c r="W423" s="171">
        <f t="shared" si="93"/>
        <v>623.90895890516538</v>
      </c>
      <c r="X423" s="69">
        <v>0</v>
      </c>
      <c r="Y423" s="48">
        <f t="shared" si="94"/>
        <v>0</v>
      </c>
      <c r="Z423" s="137">
        <f t="shared" si="95"/>
        <v>0</v>
      </c>
      <c r="AA423" s="69">
        <v>0</v>
      </c>
      <c r="AB423" s="48">
        <f t="shared" si="96"/>
        <v>0</v>
      </c>
      <c r="AC423" s="137">
        <f t="shared" si="97"/>
        <v>0</v>
      </c>
      <c r="AD423" s="70">
        <f t="shared" si="98"/>
        <v>399900</v>
      </c>
      <c r="AE423" s="71">
        <f t="shared" si="99"/>
        <v>1785.2678571428571</v>
      </c>
      <c r="AF423" s="193">
        <f t="shared" si="100"/>
        <v>623.90895890516538</v>
      </c>
      <c r="AG423" s="185">
        <f t="shared" si="101"/>
        <v>3.3947368421052636E-2</v>
      </c>
      <c r="AH423" s="180">
        <f t="shared" si="105"/>
        <v>0.40393939393939399</v>
      </c>
      <c r="AI423" s="189">
        <v>224</v>
      </c>
      <c r="AJ423" s="125">
        <v>640.95889999999997</v>
      </c>
      <c r="AK423" s="149">
        <v>97</v>
      </c>
      <c r="AL423" s="221">
        <v>51</v>
      </c>
      <c r="AM423" s="216">
        <v>59.493670886075947</v>
      </c>
      <c r="AN423" s="213">
        <v>20.68965517241379</v>
      </c>
      <c r="AO423" s="127">
        <v>2.3559999999999999</v>
      </c>
      <c r="AP423" s="133">
        <v>0.19800000000000001</v>
      </c>
      <c r="AQ423" s="224">
        <f t="shared" si="102"/>
        <v>0.95726495726495731</v>
      </c>
      <c r="AR423" s="158">
        <v>234</v>
      </c>
      <c r="AS423" s="229">
        <f t="shared" si="103"/>
        <v>0.52459016393442626</v>
      </c>
      <c r="AT423" s="230">
        <v>427</v>
      </c>
      <c r="AU423" s="203">
        <v>16.964285714285715</v>
      </c>
      <c r="AV423" s="204">
        <v>70.535714285714278</v>
      </c>
      <c r="AW423" s="205">
        <v>12.5</v>
      </c>
      <c r="AX423" s="123">
        <v>8.9171999999999993</v>
      </c>
      <c r="AY423" s="281">
        <v>15.625</v>
      </c>
      <c r="AZ423" s="282">
        <v>33.333333333333329</v>
      </c>
      <c r="BA423" s="283">
        <f t="shared" si="104"/>
        <v>51.041666666666671</v>
      </c>
      <c r="BB423" s="234">
        <v>74.358974358974351</v>
      </c>
      <c r="BC423" s="19">
        <v>2002</v>
      </c>
      <c r="BD423" s="263" t="s">
        <v>556</v>
      </c>
      <c r="BE423" s="261" t="s">
        <v>556</v>
      </c>
      <c r="BF423" s="260" t="s">
        <v>557</v>
      </c>
      <c r="BG423" s="256">
        <v>23.74429223744292</v>
      </c>
      <c r="BH423" s="254" t="s">
        <v>557</v>
      </c>
      <c r="BI423" s="249">
        <v>16.915422885572141</v>
      </c>
      <c r="BJ423" s="309" t="s">
        <v>557</v>
      </c>
      <c r="BK423" s="307" t="s">
        <v>557</v>
      </c>
      <c r="BL423" s="319" t="s">
        <v>1728</v>
      </c>
      <c r="BM423" s="320" t="s">
        <v>556</v>
      </c>
      <c r="BN423" s="321" t="s">
        <v>1767</v>
      </c>
      <c r="BO423" s="21" t="s">
        <v>556</v>
      </c>
      <c r="BP423" s="10" t="s">
        <v>556</v>
      </c>
      <c r="BQ423" s="10" t="s">
        <v>557</v>
      </c>
      <c r="BR423" s="3"/>
    </row>
    <row r="424" spans="1:70" s="56" customFormat="1" ht="13.95" customHeight="1" x14ac:dyDescent="0.3">
      <c r="A424" s="56" t="s">
        <v>459</v>
      </c>
      <c r="B424" s="57" t="s">
        <v>462</v>
      </c>
      <c r="C424" s="55" t="s">
        <v>292</v>
      </c>
      <c r="D424" s="58">
        <v>1</v>
      </c>
      <c r="E424" s="59"/>
      <c r="F424" s="60" t="s">
        <v>454</v>
      </c>
      <c r="G424" s="61" t="s">
        <v>526</v>
      </c>
      <c r="H424" s="61" t="s">
        <v>526</v>
      </c>
      <c r="I424" s="62" t="s">
        <v>526</v>
      </c>
      <c r="J424" s="63" t="s">
        <v>2430</v>
      </c>
      <c r="K424" s="99" t="s">
        <v>2429</v>
      </c>
      <c r="L424" s="130">
        <v>491475432</v>
      </c>
      <c r="M424" s="109" t="s">
        <v>564</v>
      </c>
      <c r="N424" s="12" t="s">
        <v>1382</v>
      </c>
      <c r="O424" s="100" t="s">
        <v>1673</v>
      </c>
      <c r="P424" s="131">
        <v>777003700</v>
      </c>
      <c r="Q424" s="67"/>
      <c r="R424" s="68"/>
      <c r="S424" s="99"/>
      <c r="T424" s="65"/>
      <c r="U424" s="170">
        <v>0</v>
      </c>
      <c r="V424" s="48">
        <f t="shared" si="92"/>
        <v>0</v>
      </c>
      <c r="W424" s="171">
        <f t="shared" si="93"/>
        <v>0</v>
      </c>
      <c r="X424" s="69">
        <v>79610</v>
      </c>
      <c r="Y424" s="48">
        <f t="shared" si="94"/>
        <v>603.10606060606062</v>
      </c>
      <c r="Z424" s="137">
        <f t="shared" si="95"/>
        <v>366.31334446246132</v>
      </c>
      <c r="AA424" s="69">
        <v>0</v>
      </c>
      <c r="AB424" s="48">
        <f t="shared" si="96"/>
        <v>0</v>
      </c>
      <c r="AC424" s="137">
        <f t="shared" si="97"/>
        <v>0</v>
      </c>
      <c r="AD424" s="70">
        <f t="shared" si="98"/>
        <v>79610</v>
      </c>
      <c r="AE424" s="71">
        <f t="shared" si="99"/>
        <v>603.10606060606062</v>
      </c>
      <c r="AF424" s="193">
        <f t="shared" si="100"/>
        <v>366.31334446246132</v>
      </c>
      <c r="AG424" s="185">
        <f t="shared" si="101"/>
        <v>1.9091127098321344E-2</v>
      </c>
      <c r="AH424" s="180">
        <f t="shared" si="105"/>
        <v>1.1372857142857142</v>
      </c>
      <c r="AI424" s="189">
        <v>132</v>
      </c>
      <c r="AJ424" s="125">
        <v>217.32759999999999</v>
      </c>
      <c r="AK424" s="149">
        <v>61</v>
      </c>
      <c r="AL424" s="221">
        <v>36</v>
      </c>
      <c r="AM424" s="216">
        <v>88.63636363636364</v>
      </c>
      <c r="AN424" s="213">
        <v>21.212121212121215</v>
      </c>
      <c r="AO424" s="127">
        <v>0.83399999999999996</v>
      </c>
      <c r="AP424" s="133">
        <v>1.4E-2</v>
      </c>
      <c r="AQ424" s="224">
        <f t="shared" si="102"/>
        <v>1.2110091743119267</v>
      </c>
      <c r="AR424" s="158">
        <v>109</v>
      </c>
      <c r="AS424" s="229">
        <f t="shared" si="103"/>
        <v>0.60550458715596334</v>
      </c>
      <c r="AT424" s="230">
        <v>218</v>
      </c>
      <c r="AU424" s="203">
        <v>15.151515151515152</v>
      </c>
      <c r="AV424" s="204">
        <v>65.909090909090907</v>
      </c>
      <c r="AW424" s="205">
        <v>18.939393939393938</v>
      </c>
      <c r="AX424" s="123">
        <v>4.5976999999999997</v>
      </c>
      <c r="AY424" s="281">
        <v>11.76470588235294</v>
      </c>
      <c r="AZ424" s="282">
        <v>47.058823529411761</v>
      </c>
      <c r="BA424" s="283">
        <f t="shared" si="104"/>
        <v>41.176470588235297</v>
      </c>
      <c r="BB424" s="234">
        <v>100</v>
      </c>
      <c r="BC424" s="20">
        <v>2008</v>
      </c>
      <c r="BD424" s="263" t="s">
        <v>556</v>
      </c>
      <c r="BE424" s="261" t="s">
        <v>556</v>
      </c>
      <c r="BF424" s="260" t="s">
        <v>557</v>
      </c>
      <c r="BG424" s="256">
        <v>3.4782608695652173</v>
      </c>
      <c r="BH424" s="254" t="s">
        <v>557</v>
      </c>
      <c r="BI424" s="249">
        <v>0</v>
      </c>
      <c r="BJ424" s="309" t="s">
        <v>557</v>
      </c>
      <c r="BK424" s="307" t="s">
        <v>557</v>
      </c>
      <c r="BL424" s="319" t="s">
        <v>1728</v>
      </c>
      <c r="BM424" s="320" t="s">
        <v>556</v>
      </c>
      <c r="BN424" s="321" t="s">
        <v>557</v>
      </c>
      <c r="BO424" s="145" t="s">
        <v>557</v>
      </c>
      <c r="BP424" s="14" t="s">
        <v>557</v>
      </c>
      <c r="BQ424" s="14" t="s">
        <v>557</v>
      </c>
      <c r="BR424" s="72"/>
    </row>
    <row r="425" spans="1:70" s="72" customFormat="1" ht="13.95" customHeight="1" x14ac:dyDescent="0.3">
      <c r="A425" s="56" t="s">
        <v>459</v>
      </c>
      <c r="B425" s="57" t="s">
        <v>462</v>
      </c>
      <c r="C425" s="55" t="s">
        <v>215</v>
      </c>
      <c r="D425" s="58">
        <v>1</v>
      </c>
      <c r="E425" s="59"/>
      <c r="F425" s="60" t="s">
        <v>453</v>
      </c>
      <c r="G425" s="61" t="s">
        <v>117</v>
      </c>
      <c r="H425" s="61" t="s">
        <v>117</v>
      </c>
      <c r="I425" s="62" t="s">
        <v>122</v>
      </c>
      <c r="J425" s="63" t="s">
        <v>2431</v>
      </c>
      <c r="K425" s="99" t="s">
        <v>1206</v>
      </c>
      <c r="L425" s="130">
        <v>493793561</v>
      </c>
      <c r="M425" s="109" t="s">
        <v>564</v>
      </c>
      <c r="N425" s="12" t="s">
        <v>1205</v>
      </c>
      <c r="O425" s="100"/>
      <c r="P425" s="131">
        <v>603514813</v>
      </c>
      <c r="Q425" s="67"/>
      <c r="R425" s="68"/>
      <c r="S425" s="99"/>
      <c r="T425" s="65"/>
      <c r="U425" s="170">
        <v>285000</v>
      </c>
      <c r="V425" s="48">
        <f t="shared" si="92"/>
        <v>3275.8620689655172</v>
      </c>
      <c r="W425" s="171">
        <f t="shared" si="93"/>
        <v>919.63695959631491</v>
      </c>
      <c r="X425" s="69">
        <v>80000</v>
      </c>
      <c r="Y425" s="48">
        <f t="shared" si="94"/>
        <v>919.54022988505744</v>
      </c>
      <c r="Z425" s="137">
        <f t="shared" si="95"/>
        <v>258.14370795686034</v>
      </c>
      <c r="AA425" s="69">
        <v>0</v>
      </c>
      <c r="AB425" s="48">
        <f t="shared" si="96"/>
        <v>0</v>
      </c>
      <c r="AC425" s="137">
        <f t="shared" si="97"/>
        <v>0</v>
      </c>
      <c r="AD425" s="70">
        <f t="shared" si="98"/>
        <v>365000</v>
      </c>
      <c r="AE425" s="71">
        <f t="shared" si="99"/>
        <v>4195.4022988505749</v>
      </c>
      <c r="AF425" s="193">
        <f t="shared" si="100"/>
        <v>1177.7806675531751</v>
      </c>
      <c r="AG425" s="185">
        <f t="shared" si="101"/>
        <v>5.6765163297045097E-2</v>
      </c>
      <c r="AH425" s="180">
        <f t="shared" ref="AH425:AH453" si="106">IF(AD425=0,0,1/(AP425*5000000/AD425))</f>
        <v>0.71568627450980404</v>
      </c>
      <c r="AI425" s="189">
        <v>87</v>
      </c>
      <c r="AJ425" s="125">
        <v>309.9049</v>
      </c>
      <c r="AK425" s="149">
        <v>55</v>
      </c>
      <c r="AL425" s="221">
        <v>26</v>
      </c>
      <c r="AM425" s="216">
        <v>84.848484848484844</v>
      </c>
      <c r="AN425" s="213">
        <v>0</v>
      </c>
      <c r="AO425" s="127">
        <v>1.286</v>
      </c>
      <c r="AP425" s="133">
        <v>0.10199999999999999</v>
      </c>
      <c r="AQ425" s="224">
        <f t="shared" si="102"/>
        <v>0.81308411214953269</v>
      </c>
      <c r="AR425" s="158">
        <v>107</v>
      </c>
      <c r="AS425" s="229">
        <f t="shared" si="103"/>
        <v>0.46276595744680848</v>
      </c>
      <c r="AT425" s="230">
        <v>188</v>
      </c>
      <c r="AU425" s="203">
        <v>18.390804597701148</v>
      </c>
      <c r="AV425" s="204">
        <v>66.666666666666671</v>
      </c>
      <c r="AW425" s="205">
        <v>14.942528735632186</v>
      </c>
      <c r="AX425" s="123">
        <v>3.6364000000000001</v>
      </c>
      <c r="AY425" s="281">
        <v>23.809523809523807</v>
      </c>
      <c r="AZ425" s="282">
        <v>23.809523809523807</v>
      </c>
      <c r="BA425" s="283">
        <f t="shared" si="104"/>
        <v>52.38095238095238</v>
      </c>
      <c r="BB425" s="234">
        <v>100</v>
      </c>
      <c r="BC425" s="20">
        <v>1997</v>
      </c>
      <c r="BD425" s="263" t="s">
        <v>556</v>
      </c>
      <c r="BE425" s="261" t="s">
        <v>556</v>
      </c>
      <c r="BF425" s="260" t="s">
        <v>557</v>
      </c>
      <c r="BG425" s="256">
        <v>51.764705882352949</v>
      </c>
      <c r="BH425" s="254" t="s">
        <v>557</v>
      </c>
      <c r="BI425" s="249">
        <v>0</v>
      </c>
      <c r="BJ425" s="309" t="s">
        <v>557</v>
      </c>
      <c r="BK425" s="307" t="s">
        <v>557</v>
      </c>
      <c r="BL425" s="319" t="s">
        <v>557</v>
      </c>
      <c r="BM425" s="320" t="s">
        <v>556</v>
      </c>
      <c r="BN425" s="321" t="s">
        <v>557</v>
      </c>
      <c r="BO425" s="145" t="s">
        <v>557</v>
      </c>
      <c r="BP425" s="14" t="s">
        <v>557</v>
      </c>
      <c r="BQ425" s="14" t="s">
        <v>557</v>
      </c>
      <c r="BR425" s="56"/>
    </row>
    <row r="426" spans="1:70" s="72" customFormat="1" ht="13.95" customHeight="1" x14ac:dyDescent="0.3">
      <c r="A426" s="56" t="s">
        <v>459</v>
      </c>
      <c r="B426" s="57" t="s">
        <v>462</v>
      </c>
      <c r="C426" s="55" t="s">
        <v>20</v>
      </c>
      <c r="D426" s="58">
        <v>6</v>
      </c>
      <c r="E426" s="59" t="s">
        <v>498</v>
      </c>
      <c r="F426" s="60" t="s">
        <v>452</v>
      </c>
      <c r="G426" s="61" t="s">
        <v>11</v>
      </c>
      <c r="H426" s="61" t="s">
        <v>11</v>
      </c>
      <c r="I426" s="62" t="s">
        <v>11</v>
      </c>
      <c r="J426" s="63" t="s">
        <v>2434</v>
      </c>
      <c r="K426" s="99" t="s">
        <v>987</v>
      </c>
      <c r="L426" s="130">
        <v>495458155</v>
      </c>
      <c r="M426" s="109" t="s">
        <v>564</v>
      </c>
      <c r="N426" s="12" t="s">
        <v>986</v>
      </c>
      <c r="O426" s="100"/>
      <c r="P426" s="131" t="s">
        <v>2432</v>
      </c>
      <c r="Q426" s="67"/>
      <c r="R426" s="68"/>
      <c r="S426" s="99"/>
      <c r="T426" s="65"/>
      <c r="U426" s="170">
        <v>0</v>
      </c>
      <c r="V426" s="48">
        <f t="shared" si="92"/>
        <v>0</v>
      </c>
      <c r="W426" s="171">
        <f t="shared" si="93"/>
        <v>0</v>
      </c>
      <c r="X426" s="69">
        <v>341080</v>
      </c>
      <c r="Y426" s="48">
        <f t="shared" si="94"/>
        <v>196.92840646651271</v>
      </c>
      <c r="Z426" s="137">
        <f t="shared" si="95"/>
        <v>210.64844307714958</v>
      </c>
      <c r="AA426" s="69">
        <v>500000</v>
      </c>
      <c r="AB426" s="48">
        <f t="shared" si="96"/>
        <v>288.68360277136259</v>
      </c>
      <c r="AC426" s="137">
        <f t="shared" si="97"/>
        <v>308.79623999816698</v>
      </c>
      <c r="AD426" s="70">
        <f t="shared" si="98"/>
        <v>841080</v>
      </c>
      <c r="AE426" s="71">
        <f t="shared" si="99"/>
        <v>485.61200923787527</v>
      </c>
      <c r="AF426" s="193">
        <f t="shared" si="100"/>
        <v>519.44468307531656</v>
      </c>
      <c r="AG426" s="185">
        <f t="shared" si="101"/>
        <v>7.2068891649886471E-3</v>
      </c>
      <c r="AH426" s="180">
        <f t="shared" si="106"/>
        <v>1.7699494949494951E-2</v>
      </c>
      <c r="AI426" s="189">
        <v>1732</v>
      </c>
      <c r="AJ426" s="125">
        <v>1619.1907000000001</v>
      </c>
      <c r="AK426" s="149">
        <v>615</v>
      </c>
      <c r="AL426" s="221">
        <v>434</v>
      </c>
      <c r="AM426" s="216">
        <v>92.592592592592595</v>
      </c>
      <c r="AN426" s="213">
        <v>2.7480916030534353</v>
      </c>
      <c r="AO426" s="127">
        <v>23.341000000000001</v>
      </c>
      <c r="AP426" s="133">
        <v>9.5039999999999996</v>
      </c>
      <c r="AQ426" s="224">
        <f t="shared" si="102"/>
        <v>1.242467718794835</v>
      </c>
      <c r="AR426" s="158">
        <v>1394</v>
      </c>
      <c r="AS426" s="229">
        <f t="shared" si="103"/>
        <v>0.90680628272251307</v>
      </c>
      <c r="AT426" s="230">
        <v>1910</v>
      </c>
      <c r="AU426" s="203">
        <v>16.916859122401849</v>
      </c>
      <c r="AV426" s="204">
        <v>66.628175519630489</v>
      </c>
      <c r="AW426" s="205">
        <v>16.454965357967669</v>
      </c>
      <c r="AX426" s="123">
        <v>3.8927</v>
      </c>
      <c r="AY426" s="281">
        <v>4.7748976807639831</v>
      </c>
      <c r="AZ426" s="282">
        <v>27.55798090040928</v>
      </c>
      <c r="BA426" s="283">
        <f t="shared" si="104"/>
        <v>67.667121418826738</v>
      </c>
      <c r="BB426" s="234">
        <v>79.310344827586206</v>
      </c>
      <c r="BC426" s="20">
        <v>2011</v>
      </c>
      <c r="BD426" s="263" t="s">
        <v>556</v>
      </c>
      <c r="BE426" s="261" t="s">
        <v>556</v>
      </c>
      <c r="BF426" s="260" t="s">
        <v>557</v>
      </c>
      <c r="BG426" s="256">
        <v>7.3474470734744708</v>
      </c>
      <c r="BH426" s="248" t="s">
        <v>556</v>
      </c>
      <c r="BI426" s="249">
        <v>81.24183006535948</v>
      </c>
      <c r="BJ426" s="308" t="s">
        <v>556</v>
      </c>
      <c r="BK426" s="307" t="s">
        <v>556</v>
      </c>
      <c r="BL426" s="319" t="s">
        <v>1728</v>
      </c>
      <c r="BM426" s="320" t="s">
        <v>556</v>
      </c>
      <c r="BN426" s="321" t="s">
        <v>2433</v>
      </c>
      <c r="BO426" s="145" t="s">
        <v>556</v>
      </c>
      <c r="BP426" s="14">
        <v>2</v>
      </c>
      <c r="BQ426" s="14" t="s">
        <v>556</v>
      </c>
      <c r="BR426" s="56"/>
    </row>
    <row r="427" spans="1:70" s="56" customFormat="1" ht="13.95" customHeight="1" x14ac:dyDescent="0.3">
      <c r="A427" s="56" t="s">
        <v>459</v>
      </c>
      <c r="B427" s="57" t="s">
        <v>462</v>
      </c>
      <c r="C427" s="55" t="s">
        <v>107</v>
      </c>
      <c r="D427" s="58">
        <v>2</v>
      </c>
      <c r="E427" s="59" t="s">
        <v>499</v>
      </c>
      <c r="F427" s="60" t="s">
        <v>452</v>
      </c>
      <c r="G427" s="61" t="s">
        <v>11</v>
      </c>
      <c r="H427" s="61" t="s">
        <v>11</v>
      </c>
      <c r="I427" s="62" t="s">
        <v>17</v>
      </c>
      <c r="J427" s="63" t="s">
        <v>2438</v>
      </c>
      <c r="K427" s="99" t="s">
        <v>989</v>
      </c>
      <c r="L427" s="130">
        <v>495431021</v>
      </c>
      <c r="M427" s="109" t="s">
        <v>564</v>
      </c>
      <c r="N427" s="12" t="s">
        <v>988</v>
      </c>
      <c r="O427" s="100"/>
      <c r="P427" s="131" t="s">
        <v>2437</v>
      </c>
      <c r="Q427" s="67"/>
      <c r="R427" s="68"/>
      <c r="S427" s="99"/>
      <c r="T427" s="65"/>
      <c r="U427" s="170">
        <f>800000+446142</f>
        <v>1246142</v>
      </c>
      <c r="V427" s="48">
        <f t="shared" si="92"/>
        <v>3123.1629072681703</v>
      </c>
      <c r="W427" s="171">
        <f t="shared" si="93"/>
        <v>1474.0943248985552</v>
      </c>
      <c r="X427" s="69">
        <v>164852</v>
      </c>
      <c r="Y427" s="48">
        <f t="shared" si="94"/>
        <v>413.16290726817044</v>
      </c>
      <c r="Z427" s="137">
        <f t="shared" si="95"/>
        <v>195.00779016209759</v>
      </c>
      <c r="AA427" s="69">
        <v>450000</v>
      </c>
      <c r="AB427" s="48">
        <f t="shared" si="96"/>
        <v>1127.8195488721803</v>
      </c>
      <c r="AC427" s="137">
        <f t="shared" si="97"/>
        <v>532.31689984315585</v>
      </c>
      <c r="AD427" s="70">
        <f t="shared" si="98"/>
        <v>1860994</v>
      </c>
      <c r="AE427" s="71">
        <f t="shared" si="99"/>
        <v>4664.145363408521</v>
      </c>
      <c r="AF427" s="193">
        <f t="shared" si="100"/>
        <v>2201.4190149038086</v>
      </c>
      <c r="AG427" s="185">
        <f t="shared" si="101"/>
        <v>5.9580406595165676E-2</v>
      </c>
      <c r="AH427" s="180">
        <f t="shared" si="106"/>
        <v>8.3527558348294423E-2</v>
      </c>
      <c r="AI427" s="189">
        <v>399</v>
      </c>
      <c r="AJ427" s="125">
        <v>845.36109999999996</v>
      </c>
      <c r="AK427" s="149">
        <v>179</v>
      </c>
      <c r="AL427" s="221">
        <v>115</v>
      </c>
      <c r="AM427" s="216">
        <v>99.290780141843967</v>
      </c>
      <c r="AN427" s="213">
        <v>0.54054054054054046</v>
      </c>
      <c r="AO427" s="127">
        <v>6.2469999999999999</v>
      </c>
      <c r="AP427" s="133">
        <v>4.4560000000000004</v>
      </c>
      <c r="AQ427" s="224">
        <f t="shared" si="102"/>
        <v>1.2586750788643533</v>
      </c>
      <c r="AR427" s="158">
        <v>317</v>
      </c>
      <c r="AS427" s="229">
        <f t="shared" si="103"/>
        <v>0.58849557522123896</v>
      </c>
      <c r="AT427" s="230">
        <v>678</v>
      </c>
      <c r="AU427" s="203">
        <v>16.040100250626566</v>
      </c>
      <c r="AV427" s="204">
        <v>69.172932330827066</v>
      </c>
      <c r="AW427" s="205">
        <v>14.786967418546364</v>
      </c>
      <c r="AX427" s="123">
        <v>5</v>
      </c>
      <c r="AY427" s="281">
        <v>7.59493670886076</v>
      </c>
      <c r="AZ427" s="282">
        <v>37.341772151898731</v>
      </c>
      <c r="BA427" s="283">
        <f t="shared" si="104"/>
        <v>55.063291139240512</v>
      </c>
      <c r="BB427" s="234">
        <v>81.632653061224488</v>
      </c>
      <c r="BC427" s="20">
        <v>2008</v>
      </c>
      <c r="BD427" s="263" t="s">
        <v>556</v>
      </c>
      <c r="BE427" s="261" t="s">
        <v>556</v>
      </c>
      <c r="BF427" s="260" t="s">
        <v>557</v>
      </c>
      <c r="BG427" s="256">
        <v>1.3513513513513513</v>
      </c>
      <c r="BH427" s="254" t="s">
        <v>557</v>
      </c>
      <c r="BI427" s="249">
        <v>0</v>
      </c>
      <c r="BJ427" s="309" t="s">
        <v>557</v>
      </c>
      <c r="BK427" s="307" t="s">
        <v>557</v>
      </c>
      <c r="BL427" s="319" t="s">
        <v>1728</v>
      </c>
      <c r="BM427" s="320" t="s">
        <v>556</v>
      </c>
      <c r="BN427" s="321" t="s">
        <v>1838</v>
      </c>
      <c r="BO427" s="145" t="s">
        <v>557</v>
      </c>
      <c r="BP427" s="14" t="s">
        <v>556</v>
      </c>
      <c r="BQ427" s="14" t="s">
        <v>557</v>
      </c>
      <c r="BR427" s="3"/>
    </row>
    <row r="428" spans="1:70" s="56" customFormat="1" ht="13.95" customHeight="1" x14ac:dyDescent="0.3">
      <c r="A428" s="56" t="s">
        <v>459</v>
      </c>
      <c r="B428" s="57" t="s">
        <v>462</v>
      </c>
      <c r="C428" s="55" t="s">
        <v>108</v>
      </c>
      <c r="D428" s="58">
        <v>1</v>
      </c>
      <c r="E428" s="59"/>
      <c r="F428" s="60" t="s">
        <v>452</v>
      </c>
      <c r="G428" s="61" t="s">
        <v>11</v>
      </c>
      <c r="H428" s="61" t="s">
        <v>11</v>
      </c>
      <c r="I428" s="62" t="s">
        <v>11</v>
      </c>
      <c r="J428" s="63" t="s">
        <v>2440</v>
      </c>
      <c r="K428" s="99" t="s">
        <v>2439</v>
      </c>
      <c r="L428" s="130">
        <v>495580130</v>
      </c>
      <c r="M428" s="109" t="s">
        <v>564</v>
      </c>
      <c r="N428" s="12" t="s">
        <v>990</v>
      </c>
      <c r="O428" s="100" t="s">
        <v>991</v>
      </c>
      <c r="P428" s="131">
        <v>725081339</v>
      </c>
      <c r="Q428" s="67"/>
      <c r="R428" s="68"/>
      <c r="S428" s="99"/>
      <c r="T428" s="65"/>
      <c r="U428" s="170">
        <v>400000</v>
      </c>
      <c r="V428" s="48">
        <f t="shared" si="92"/>
        <v>253.96825396825398</v>
      </c>
      <c r="W428" s="171">
        <f t="shared" si="93"/>
        <v>261.02250738351103</v>
      </c>
      <c r="X428" s="69">
        <v>0</v>
      </c>
      <c r="Y428" s="48">
        <f t="shared" si="94"/>
        <v>0</v>
      </c>
      <c r="Z428" s="137">
        <f t="shared" si="95"/>
        <v>0</v>
      </c>
      <c r="AA428" s="69">
        <v>500000</v>
      </c>
      <c r="AB428" s="48">
        <f t="shared" si="96"/>
        <v>317.46031746031747</v>
      </c>
      <c r="AC428" s="137">
        <f t="shared" si="97"/>
        <v>326.2781342293888</v>
      </c>
      <c r="AD428" s="70">
        <f t="shared" si="98"/>
        <v>900000</v>
      </c>
      <c r="AE428" s="71">
        <f t="shared" si="99"/>
        <v>571.42857142857144</v>
      </c>
      <c r="AF428" s="193">
        <f t="shared" si="100"/>
        <v>587.30064161289988</v>
      </c>
      <c r="AG428" s="185">
        <f t="shared" si="101"/>
        <v>1.3303769401330377E-2</v>
      </c>
      <c r="AH428" s="180">
        <f t="shared" si="106"/>
        <v>4.5581159787287918E-2</v>
      </c>
      <c r="AI428" s="189">
        <v>1575</v>
      </c>
      <c r="AJ428" s="125">
        <v>1532.4349</v>
      </c>
      <c r="AK428" s="149">
        <v>509</v>
      </c>
      <c r="AL428" s="221">
        <v>349</v>
      </c>
      <c r="AM428" s="216">
        <v>91.747572815533985</v>
      </c>
      <c r="AN428" s="213">
        <v>3.0368763557483733</v>
      </c>
      <c r="AO428" s="127">
        <v>13.53</v>
      </c>
      <c r="AP428" s="133">
        <v>3.9489999999999998</v>
      </c>
      <c r="AQ428" s="224">
        <f t="shared" si="102"/>
        <v>2.5526742301458669</v>
      </c>
      <c r="AR428" s="158">
        <v>617</v>
      </c>
      <c r="AS428" s="229">
        <f t="shared" si="103"/>
        <v>2.1370420624151967</v>
      </c>
      <c r="AT428" s="230">
        <v>737</v>
      </c>
      <c r="AU428" s="203">
        <v>21.333333333333336</v>
      </c>
      <c r="AV428" s="204">
        <v>69.206349206349202</v>
      </c>
      <c r="AW428" s="205">
        <v>9.4603174603174605</v>
      </c>
      <c r="AX428" s="123">
        <v>3.4026000000000001</v>
      </c>
      <c r="AY428" s="281">
        <v>4.8136645962732922</v>
      </c>
      <c r="AZ428" s="282">
        <v>23.136645962732917</v>
      </c>
      <c r="BA428" s="283">
        <f t="shared" si="104"/>
        <v>72.049689440993788</v>
      </c>
      <c r="BB428" s="234">
        <v>90.384615384615387</v>
      </c>
      <c r="BC428" s="20">
        <v>2011</v>
      </c>
      <c r="BD428" s="263" t="s">
        <v>556</v>
      </c>
      <c r="BE428" s="261" t="s">
        <v>556</v>
      </c>
      <c r="BF428" s="259" t="s">
        <v>556</v>
      </c>
      <c r="BG428" s="256">
        <v>83.62341772151899</v>
      </c>
      <c r="BH428" s="248" t="s">
        <v>556</v>
      </c>
      <c r="BI428" s="249">
        <v>71.654197838736494</v>
      </c>
      <c r="BJ428" s="308" t="s">
        <v>556</v>
      </c>
      <c r="BK428" s="307" t="s">
        <v>557</v>
      </c>
      <c r="BL428" s="319" t="s">
        <v>1728</v>
      </c>
      <c r="BM428" s="320" t="s">
        <v>556</v>
      </c>
      <c r="BN428" s="321" t="s">
        <v>1767</v>
      </c>
      <c r="BO428" s="145" t="s">
        <v>556</v>
      </c>
      <c r="BP428" s="14" t="s">
        <v>556</v>
      </c>
      <c r="BQ428" s="14" t="s">
        <v>557</v>
      </c>
    </row>
    <row r="429" spans="1:70" s="56" customFormat="1" ht="13.95" customHeight="1" x14ac:dyDescent="0.3">
      <c r="A429" s="56" t="s">
        <v>459</v>
      </c>
      <c r="B429" s="57" t="s">
        <v>462</v>
      </c>
      <c r="C429" s="55" t="s">
        <v>293</v>
      </c>
      <c r="D429" s="58">
        <v>3</v>
      </c>
      <c r="E429" s="59" t="s">
        <v>668</v>
      </c>
      <c r="F429" s="60" t="s">
        <v>454</v>
      </c>
      <c r="G429" s="61" t="s">
        <v>226</v>
      </c>
      <c r="H429" s="61" t="s">
        <v>249</v>
      </c>
      <c r="I429" s="62" t="s">
        <v>249</v>
      </c>
      <c r="J429" s="63" t="s">
        <v>2441</v>
      </c>
      <c r="K429" s="99"/>
      <c r="L429" s="130">
        <v>491482574</v>
      </c>
      <c r="M429" s="109" t="s">
        <v>564</v>
      </c>
      <c r="N429" s="12" t="s">
        <v>1383</v>
      </c>
      <c r="O429" s="100" t="s">
        <v>1384</v>
      </c>
      <c r="P429" s="131">
        <v>737710081</v>
      </c>
      <c r="Q429" s="67"/>
      <c r="R429" s="68"/>
      <c r="S429" s="99"/>
      <c r="T429" s="65"/>
      <c r="U429" s="170">
        <v>0</v>
      </c>
      <c r="V429" s="48">
        <f t="shared" si="92"/>
        <v>0</v>
      </c>
      <c r="W429" s="171">
        <f t="shared" si="93"/>
        <v>0</v>
      </c>
      <c r="X429" s="69">
        <v>0</v>
      </c>
      <c r="Y429" s="48">
        <f t="shared" si="94"/>
        <v>0</v>
      </c>
      <c r="Z429" s="137">
        <f t="shared" si="95"/>
        <v>0</v>
      </c>
      <c r="AA429" s="69">
        <v>400000</v>
      </c>
      <c r="AB429" s="48">
        <f t="shared" si="96"/>
        <v>1465.2014652014652</v>
      </c>
      <c r="AC429" s="137">
        <f t="shared" si="97"/>
        <v>536.81590864681596</v>
      </c>
      <c r="AD429" s="70">
        <f t="shared" si="98"/>
        <v>400000</v>
      </c>
      <c r="AE429" s="71">
        <f t="shared" si="99"/>
        <v>1465.2014652014652</v>
      </c>
      <c r="AF429" s="193">
        <f t="shared" si="100"/>
        <v>536.81590864681596</v>
      </c>
      <c r="AG429" s="185">
        <f t="shared" si="101"/>
        <v>2.9207740051113547E-2</v>
      </c>
      <c r="AH429" s="180">
        <f t="shared" si="106"/>
        <v>0.26755852842809363</v>
      </c>
      <c r="AI429" s="189">
        <v>273</v>
      </c>
      <c r="AJ429" s="125">
        <v>745.13440000000003</v>
      </c>
      <c r="AK429" s="149">
        <v>179</v>
      </c>
      <c r="AL429" s="221">
        <v>83</v>
      </c>
      <c r="AM429" s="216">
        <v>92.631578947368425</v>
      </c>
      <c r="AN429" s="213">
        <v>36.413043478260867</v>
      </c>
      <c r="AO429" s="127">
        <v>2.7389999999999999</v>
      </c>
      <c r="AP429" s="133">
        <v>0.29899999999999999</v>
      </c>
      <c r="AQ429" s="224">
        <f t="shared" si="102"/>
        <v>1.0622568093385214</v>
      </c>
      <c r="AR429" s="158">
        <v>257</v>
      </c>
      <c r="AS429" s="229">
        <f t="shared" si="103"/>
        <v>0.49636363636363634</v>
      </c>
      <c r="AT429" s="230">
        <v>550</v>
      </c>
      <c r="AU429" s="203">
        <v>19.780219780219781</v>
      </c>
      <c r="AV429" s="204">
        <v>63.369963369963372</v>
      </c>
      <c r="AW429" s="205">
        <v>16.84981684981685</v>
      </c>
      <c r="AX429" s="123">
        <v>6.8182</v>
      </c>
      <c r="AY429" s="281">
        <v>11.111111111111111</v>
      </c>
      <c r="AZ429" s="282">
        <v>45.370370370370374</v>
      </c>
      <c r="BA429" s="283">
        <f t="shared" si="104"/>
        <v>43.518518518518512</v>
      </c>
      <c r="BB429" s="234">
        <v>97.916666666666671</v>
      </c>
      <c r="BC429" s="20">
        <v>2011</v>
      </c>
      <c r="BD429" s="263" t="s">
        <v>556</v>
      </c>
      <c r="BE429" s="262" t="s">
        <v>557</v>
      </c>
      <c r="BF429" s="260" t="s">
        <v>557</v>
      </c>
      <c r="BG429" s="256">
        <v>0</v>
      </c>
      <c r="BH429" s="248" t="s">
        <v>556</v>
      </c>
      <c r="BI429" s="249">
        <v>39.574468085106382</v>
      </c>
      <c r="BJ429" s="309" t="s">
        <v>557</v>
      </c>
      <c r="BK429" s="307" t="s">
        <v>557</v>
      </c>
      <c r="BL429" s="319" t="s">
        <v>1728</v>
      </c>
      <c r="BM429" s="320" t="s">
        <v>556</v>
      </c>
      <c r="BN429" s="321" t="s">
        <v>1838</v>
      </c>
      <c r="BO429" s="145" t="s">
        <v>557</v>
      </c>
      <c r="BP429" s="14" t="s">
        <v>557</v>
      </c>
      <c r="BQ429" s="14" t="s">
        <v>557</v>
      </c>
    </row>
    <row r="430" spans="1:70" s="56" customFormat="1" ht="13.95" customHeight="1" x14ac:dyDescent="0.3">
      <c r="A430" s="56" t="s">
        <v>459</v>
      </c>
      <c r="B430" s="77" t="s">
        <v>464</v>
      </c>
      <c r="C430" s="74" t="s">
        <v>156</v>
      </c>
      <c r="D430" s="58">
        <v>2</v>
      </c>
      <c r="E430" s="59" t="s">
        <v>632</v>
      </c>
      <c r="F430" s="60" t="s">
        <v>453</v>
      </c>
      <c r="G430" s="75" t="s">
        <v>113</v>
      </c>
      <c r="H430" s="75" t="s">
        <v>113</v>
      </c>
      <c r="I430" s="76" t="s">
        <v>156</v>
      </c>
      <c r="J430" s="63" t="s">
        <v>2443</v>
      </c>
      <c r="K430" s="99" t="s">
        <v>2442</v>
      </c>
      <c r="L430" s="130">
        <v>493520249</v>
      </c>
      <c r="M430" s="109" t="s">
        <v>564</v>
      </c>
      <c r="N430" s="12" t="s">
        <v>1207</v>
      </c>
      <c r="O430" s="100"/>
      <c r="P430" s="131">
        <v>607844952</v>
      </c>
      <c r="Q430" s="67"/>
      <c r="R430" s="68"/>
      <c r="S430" s="99"/>
      <c r="T430" s="65"/>
      <c r="U430" s="170">
        <v>361100</v>
      </c>
      <c r="V430" s="48">
        <f t="shared" si="92"/>
        <v>412.21461187214612</v>
      </c>
      <c r="W430" s="171">
        <f t="shared" si="93"/>
        <v>386.82485885873922</v>
      </c>
      <c r="X430" s="69">
        <v>167699</v>
      </c>
      <c r="Y430" s="48">
        <f t="shared" si="94"/>
        <v>191.43721461187215</v>
      </c>
      <c r="Z430" s="137">
        <f t="shared" si="95"/>
        <v>179.6459208134913</v>
      </c>
      <c r="AA430" s="69">
        <v>0</v>
      </c>
      <c r="AB430" s="48">
        <f t="shared" si="96"/>
        <v>0</v>
      </c>
      <c r="AC430" s="137">
        <f t="shared" si="97"/>
        <v>0</v>
      </c>
      <c r="AD430" s="70">
        <f t="shared" si="98"/>
        <v>528799</v>
      </c>
      <c r="AE430" s="71">
        <f t="shared" si="99"/>
        <v>603.65182648401822</v>
      </c>
      <c r="AF430" s="193">
        <f t="shared" si="100"/>
        <v>566.47077967223049</v>
      </c>
      <c r="AG430" s="185">
        <f t="shared" si="101"/>
        <v>8.4472683706070285E-3</v>
      </c>
      <c r="AH430" s="180">
        <f t="shared" si="106"/>
        <v>4.2219481037924153E-2</v>
      </c>
      <c r="AI430" s="189">
        <v>876</v>
      </c>
      <c r="AJ430" s="126">
        <v>933.49739999999997</v>
      </c>
      <c r="AK430" s="150">
        <v>376</v>
      </c>
      <c r="AL430" s="221">
        <v>245</v>
      </c>
      <c r="AM430" s="216">
        <v>82.278481012658233</v>
      </c>
      <c r="AN430" s="213">
        <v>13.65740740740741</v>
      </c>
      <c r="AO430" s="128">
        <v>12.52</v>
      </c>
      <c r="AP430" s="134">
        <v>2.5049999999999999</v>
      </c>
      <c r="AQ430" s="224">
        <f t="shared" si="102"/>
        <v>1.0342384887839433</v>
      </c>
      <c r="AR430" s="158">
        <v>847</v>
      </c>
      <c r="AS430" s="229">
        <f t="shared" si="103"/>
        <v>0.60372157133011717</v>
      </c>
      <c r="AT430" s="230">
        <v>1451</v>
      </c>
      <c r="AU430" s="203">
        <v>17.123287671232877</v>
      </c>
      <c r="AV430" s="204">
        <v>65.296803652968038</v>
      </c>
      <c r="AW430" s="205">
        <v>17.579908675799086</v>
      </c>
      <c r="AX430" s="123">
        <v>7.4379999999999997</v>
      </c>
      <c r="AY430" s="281">
        <v>7.4534161490683228</v>
      </c>
      <c r="AZ430" s="282">
        <v>43.167701863354033</v>
      </c>
      <c r="BA430" s="283">
        <f t="shared" si="104"/>
        <v>49.37888198757765</v>
      </c>
      <c r="BB430" s="234">
        <v>81.25</v>
      </c>
      <c r="BC430" s="20">
        <v>2012</v>
      </c>
      <c r="BD430" s="263" t="s">
        <v>556</v>
      </c>
      <c r="BE430" s="261" t="s">
        <v>556</v>
      </c>
      <c r="BF430" s="259" t="s">
        <v>556</v>
      </c>
      <c r="BG430" s="256">
        <v>77.631578947368425</v>
      </c>
      <c r="BH430" s="248" t="s">
        <v>556</v>
      </c>
      <c r="BI430" s="249">
        <v>26.8</v>
      </c>
      <c r="BJ430" s="308" t="s">
        <v>556</v>
      </c>
      <c r="BK430" s="307" t="s">
        <v>556</v>
      </c>
      <c r="BL430" s="319" t="s">
        <v>1728</v>
      </c>
      <c r="BM430" s="320" t="s">
        <v>556</v>
      </c>
      <c r="BN430" s="321" t="s">
        <v>1957</v>
      </c>
      <c r="BO430" s="145" t="s">
        <v>556</v>
      </c>
      <c r="BP430" s="14">
        <v>2</v>
      </c>
      <c r="BQ430" s="14" t="s">
        <v>557</v>
      </c>
    </row>
    <row r="431" spans="1:70" s="56" customFormat="1" ht="13.95" customHeight="1" x14ac:dyDescent="0.3">
      <c r="A431" s="3" t="s">
        <v>459</v>
      </c>
      <c r="B431" s="57" t="s">
        <v>462</v>
      </c>
      <c r="C431" s="55" t="s">
        <v>294</v>
      </c>
      <c r="D431" s="58">
        <v>1</v>
      </c>
      <c r="E431" s="59"/>
      <c r="F431" s="60" t="s">
        <v>454</v>
      </c>
      <c r="G431" s="61" t="s">
        <v>226</v>
      </c>
      <c r="H431" s="61" t="s">
        <v>226</v>
      </c>
      <c r="I431" s="62" t="s">
        <v>226</v>
      </c>
      <c r="J431" s="117" t="s">
        <v>2444</v>
      </c>
      <c r="K431" s="100" t="s">
        <v>1386</v>
      </c>
      <c r="L431" s="131">
        <v>491424827</v>
      </c>
      <c r="M431" s="109" t="s">
        <v>537</v>
      </c>
      <c r="N431" s="12" t="s">
        <v>1385</v>
      </c>
      <c r="O431" s="100"/>
      <c r="P431" s="131">
        <v>724186823</v>
      </c>
      <c r="Q431" s="67"/>
      <c r="R431" s="12"/>
      <c r="S431" s="100"/>
      <c r="T431" s="66"/>
      <c r="U431" s="170">
        <f>400000+500000</f>
        <v>900000</v>
      </c>
      <c r="V431" s="48">
        <f t="shared" si="92"/>
        <v>1785.7142857142858</v>
      </c>
      <c r="W431" s="171">
        <f t="shared" si="93"/>
        <v>1585.4823371982693</v>
      </c>
      <c r="X431" s="69">
        <v>60120</v>
      </c>
      <c r="Y431" s="48">
        <f t="shared" si="94"/>
        <v>119.28571428571429</v>
      </c>
      <c r="Z431" s="137">
        <f t="shared" si="95"/>
        <v>105.91022012484439</v>
      </c>
      <c r="AA431" s="69">
        <v>0</v>
      </c>
      <c r="AB431" s="48">
        <f t="shared" si="96"/>
        <v>0</v>
      </c>
      <c r="AC431" s="137">
        <f t="shared" si="97"/>
        <v>0</v>
      </c>
      <c r="AD431" s="70">
        <f t="shared" si="98"/>
        <v>960120</v>
      </c>
      <c r="AE431" s="71">
        <f t="shared" si="99"/>
        <v>1905</v>
      </c>
      <c r="AF431" s="193">
        <f t="shared" si="100"/>
        <v>1691.3925573231138</v>
      </c>
      <c r="AG431" s="185">
        <f t="shared" si="101"/>
        <v>2.4129680824327721E-2</v>
      </c>
      <c r="AH431" s="180">
        <f t="shared" si="106"/>
        <v>4.7378238341968908E-2</v>
      </c>
      <c r="AI431" s="189">
        <v>504</v>
      </c>
      <c r="AJ431" s="125">
        <v>567.65060000000005</v>
      </c>
      <c r="AK431" s="149">
        <v>290</v>
      </c>
      <c r="AL431" s="221">
        <v>133</v>
      </c>
      <c r="AM431" s="216">
        <v>91.379310344827587</v>
      </c>
      <c r="AN431" s="213">
        <v>0.88495575221238931</v>
      </c>
      <c r="AO431" s="127">
        <v>7.9580000000000002</v>
      </c>
      <c r="AP431" s="133">
        <v>4.0529999999999999</v>
      </c>
      <c r="AQ431" s="224">
        <f t="shared" si="102"/>
        <v>1.3770491803278688</v>
      </c>
      <c r="AR431" s="158">
        <v>366</v>
      </c>
      <c r="AS431" s="229">
        <f t="shared" si="103"/>
        <v>0.83443708609271527</v>
      </c>
      <c r="AT431" s="230">
        <v>604</v>
      </c>
      <c r="AU431" s="203">
        <v>17.658730158730158</v>
      </c>
      <c r="AV431" s="204">
        <v>67.261904761904773</v>
      </c>
      <c r="AW431" s="205">
        <v>15.079365079365079</v>
      </c>
      <c r="AX431" s="123">
        <v>3.1646000000000001</v>
      </c>
      <c r="AY431" s="281">
        <v>0.97560975609756095</v>
      </c>
      <c r="AZ431" s="282">
        <v>41.951219512195124</v>
      </c>
      <c r="BA431" s="283">
        <f t="shared" si="104"/>
        <v>57.073170731707322</v>
      </c>
      <c r="BB431" s="234">
        <v>37.269372693726936</v>
      </c>
      <c r="BC431" s="19">
        <v>1999</v>
      </c>
      <c r="BD431" s="263" t="s">
        <v>556</v>
      </c>
      <c r="BE431" s="261" t="s">
        <v>556</v>
      </c>
      <c r="BF431" s="259" t="s">
        <v>556</v>
      </c>
      <c r="BG431" s="256">
        <v>30.222222222222221</v>
      </c>
      <c r="BH431" s="248" t="s">
        <v>556</v>
      </c>
      <c r="BI431" s="249">
        <v>26.365795724465556</v>
      </c>
      <c r="BJ431" s="309" t="s">
        <v>557</v>
      </c>
      <c r="BK431" s="307" t="s">
        <v>557</v>
      </c>
      <c r="BL431" s="319" t="s">
        <v>1728</v>
      </c>
      <c r="BM431" s="320" t="s">
        <v>556</v>
      </c>
      <c r="BN431" s="321" t="s">
        <v>1838</v>
      </c>
      <c r="BO431" s="21" t="s">
        <v>999</v>
      </c>
      <c r="BP431" s="10" t="s">
        <v>557</v>
      </c>
      <c r="BQ431" s="10" t="s">
        <v>557</v>
      </c>
      <c r="BR431" s="3"/>
    </row>
    <row r="432" spans="1:70" s="56" customFormat="1" ht="13.95" customHeight="1" x14ac:dyDescent="0.3">
      <c r="A432" s="56" t="s">
        <v>459</v>
      </c>
      <c r="B432" s="57" t="s">
        <v>462</v>
      </c>
      <c r="C432" s="55" t="s">
        <v>109</v>
      </c>
      <c r="D432" s="58">
        <v>1</v>
      </c>
      <c r="E432" s="59"/>
      <c r="F432" s="60" t="s">
        <v>452</v>
      </c>
      <c r="G432" s="61" t="s">
        <v>11</v>
      </c>
      <c r="H432" s="61" t="s">
        <v>525</v>
      </c>
      <c r="I432" s="62" t="s">
        <v>525</v>
      </c>
      <c r="J432" s="63" t="s">
        <v>2446</v>
      </c>
      <c r="K432" s="99" t="s">
        <v>1681</v>
      </c>
      <c r="L432" s="130">
        <v>494661834</v>
      </c>
      <c r="M432" s="109" t="s">
        <v>564</v>
      </c>
      <c r="N432" s="12" t="s">
        <v>992</v>
      </c>
      <c r="O432" s="100"/>
      <c r="P432" s="131">
        <v>602112051</v>
      </c>
      <c r="Q432" s="67"/>
      <c r="R432" s="68"/>
      <c r="S432" s="99"/>
      <c r="T432" s="65"/>
      <c r="U432" s="170">
        <v>68600</v>
      </c>
      <c r="V432" s="48">
        <f t="shared" si="92"/>
        <v>914.66666666666663</v>
      </c>
      <c r="W432" s="171">
        <f t="shared" si="93"/>
        <v>323.11273431560863</v>
      </c>
      <c r="X432" s="69">
        <v>0</v>
      </c>
      <c r="Y432" s="48">
        <f t="shared" si="94"/>
        <v>0</v>
      </c>
      <c r="Z432" s="137">
        <f t="shared" si="95"/>
        <v>0</v>
      </c>
      <c r="AA432" s="69">
        <v>0</v>
      </c>
      <c r="AB432" s="48">
        <f t="shared" si="96"/>
        <v>0</v>
      </c>
      <c r="AC432" s="137">
        <f t="shared" si="97"/>
        <v>0</v>
      </c>
      <c r="AD432" s="70">
        <f t="shared" si="98"/>
        <v>68600</v>
      </c>
      <c r="AE432" s="71">
        <f t="shared" si="99"/>
        <v>914.66666666666663</v>
      </c>
      <c r="AF432" s="193">
        <f t="shared" si="100"/>
        <v>323.11273431560863</v>
      </c>
      <c r="AG432" s="185">
        <f t="shared" si="101"/>
        <v>1.0786163522012579E-2</v>
      </c>
      <c r="AH432" s="180">
        <f t="shared" si="106"/>
        <v>2.2866666666666666</v>
      </c>
      <c r="AI432" s="189">
        <v>75</v>
      </c>
      <c r="AJ432" s="125">
        <v>212.3098</v>
      </c>
      <c r="AK432" s="149">
        <v>40</v>
      </c>
      <c r="AL432" s="221">
        <v>22</v>
      </c>
      <c r="AM432" s="216">
        <v>100</v>
      </c>
      <c r="AN432" s="213">
        <v>2.6315789473684208</v>
      </c>
      <c r="AO432" s="127">
        <v>1.272</v>
      </c>
      <c r="AP432" s="133">
        <v>6.0000000000000001E-3</v>
      </c>
      <c r="AQ432" s="224">
        <f t="shared" si="102"/>
        <v>1.056338028169014</v>
      </c>
      <c r="AR432" s="158">
        <v>71</v>
      </c>
      <c r="AS432" s="229">
        <f t="shared" si="103"/>
        <v>0.75757575757575757</v>
      </c>
      <c r="AT432" s="230">
        <v>99</v>
      </c>
      <c r="AU432" s="203">
        <v>12</v>
      </c>
      <c r="AV432" s="204">
        <v>72</v>
      </c>
      <c r="AW432" s="205">
        <v>16</v>
      </c>
      <c r="AX432" s="123">
        <v>7.4074</v>
      </c>
      <c r="AY432" s="281">
        <v>8.3333333333333321</v>
      </c>
      <c r="AZ432" s="282">
        <v>25</v>
      </c>
      <c r="BA432" s="283">
        <f t="shared" si="104"/>
        <v>66.666666666666671</v>
      </c>
      <c r="BB432" s="234">
        <v>100</v>
      </c>
      <c r="BC432" s="20">
        <v>2013</v>
      </c>
      <c r="BD432" s="263" t="s">
        <v>556</v>
      </c>
      <c r="BE432" s="262" t="s">
        <v>557</v>
      </c>
      <c r="BF432" s="260" t="s">
        <v>557</v>
      </c>
      <c r="BG432" s="256">
        <v>0</v>
      </c>
      <c r="BH432" s="254" t="s">
        <v>557</v>
      </c>
      <c r="BI432" s="249">
        <v>0</v>
      </c>
      <c r="BJ432" s="309" t="s">
        <v>557</v>
      </c>
      <c r="BK432" s="307" t="s">
        <v>557</v>
      </c>
      <c r="BL432" s="319" t="s">
        <v>557</v>
      </c>
      <c r="BM432" s="320" t="s">
        <v>556</v>
      </c>
      <c r="BN432" s="321" t="s">
        <v>1838</v>
      </c>
      <c r="BO432" s="145" t="s">
        <v>557</v>
      </c>
      <c r="BP432" s="14" t="s">
        <v>556</v>
      </c>
      <c r="BQ432" s="14" t="s">
        <v>557</v>
      </c>
      <c r="BR432" s="72"/>
    </row>
    <row r="433" spans="1:94" s="72" customFormat="1" ht="13.95" customHeight="1" x14ac:dyDescent="0.3">
      <c r="A433" s="56" t="s">
        <v>459</v>
      </c>
      <c r="B433" s="57" t="s">
        <v>462</v>
      </c>
      <c r="C433" s="55" t="s">
        <v>295</v>
      </c>
      <c r="D433" s="58">
        <v>3</v>
      </c>
      <c r="E433" s="59" t="s">
        <v>767</v>
      </c>
      <c r="F433" s="60" t="s">
        <v>454</v>
      </c>
      <c r="G433" s="61" t="s">
        <v>226</v>
      </c>
      <c r="H433" s="61" t="s">
        <v>238</v>
      </c>
      <c r="I433" s="62" t="s">
        <v>238</v>
      </c>
      <c r="J433" s="63" t="s">
        <v>2435</v>
      </c>
      <c r="K433" s="99" t="s">
        <v>1388</v>
      </c>
      <c r="L433" s="130">
        <v>491465113</v>
      </c>
      <c r="M433" s="109" t="s">
        <v>564</v>
      </c>
      <c r="N433" s="12" t="s">
        <v>1387</v>
      </c>
      <c r="O433" s="100"/>
      <c r="P433" s="131">
        <v>774205205</v>
      </c>
      <c r="Q433" s="67"/>
      <c r="R433" s="68"/>
      <c r="S433" s="99"/>
      <c r="T433" s="65"/>
      <c r="U433" s="170">
        <v>241000</v>
      </c>
      <c r="V433" s="48">
        <f t="shared" si="92"/>
        <v>447.12430426716139</v>
      </c>
      <c r="W433" s="171">
        <f t="shared" si="93"/>
        <v>293.27882809187685</v>
      </c>
      <c r="X433" s="69">
        <v>72220</v>
      </c>
      <c r="Y433" s="48">
        <f t="shared" si="94"/>
        <v>133.98886827458256</v>
      </c>
      <c r="Z433" s="137">
        <f t="shared" si="95"/>
        <v>87.886294459731715</v>
      </c>
      <c r="AA433" s="69">
        <v>1000000</v>
      </c>
      <c r="AB433" s="48">
        <f t="shared" si="96"/>
        <v>1855.2875695732839</v>
      </c>
      <c r="AC433" s="137">
        <f t="shared" si="97"/>
        <v>1216.9245978916051</v>
      </c>
      <c r="AD433" s="70">
        <f t="shared" si="98"/>
        <v>1313220</v>
      </c>
      <c r="AE433" s="71">
        <f t="shared" si="99"/>
        <v>2436.4007421150277</v>
      </c>
      <c r="AF433" s="193">
        <f t="shared" si="100"/>
        <v>1598.0897204432135</v>
      </c>
      <c r="AG433" s="185">
        <f t="shared" si="101"/>
        <v>3.5273166800966961E-2</v>
      </c>
      <c r="AH433" s="180">
        <f t="shared" si="106"/>
        <v>5.780017605633804E-2</v>
      </c>
      <c r="AI433" s="189">
        <v>539</v>
      </c>
      <c r="AJ433" s="125">
        <v>821.74360000000001</v>
      </c>
      <c r="AK433" s="149">
        <v>294</v>
      </c>
      <c r="AL433" s="221">
        <v>149</v>
      </c>
      <c r="AM433" s="216">
        <v>90.229885057471265</v>
      </c>
      <c r="AN433" s="213">
        <v>16.141732283464567</v>
      </c>
      <c r="AO433" s="127">
        <v>7.4459999999999997</v>
      </c>
      <c r="AP433" s="133">
        <v>4.5439999999999996</v>
      </c>
      <c r="AQ433" s="224">
        <f t="shared" si="102"/>
        <v>1.2712264150943395</v>
      </c>
      <c r="AR433" s="158">
        <v>424</v>
      </c>
      <c r="AS433" s="229">
        <f t="shared" si="103"/>
        <v>1.488950276243094</v>
      </c>
      <c r="AT433" s="230">
        <v>362</v>
      </c>
      <c r="AU433" s="203">
        <v>18.923933209647494</v>
      </c>
      <c r="AV433" s="204">
        <v>66.048237476808907</v>
      </c>
      <c r="AW433" s="205">
        <v>15.027829313543601</v>
      </c>
      <c r="AX433" s="123">
        <v>0.86960000000000004</v>
      </c>
      <c r="AY433" s="281">
        <v>4.6511627906976747</v>
      </c>
      <c r="AZ433" s="282">
        <v>40.465116279069768</v>
      </c>
      <c r="BA433" s="283">
        <f t="shared" si="104"/>
        <v>54.883720930232563</v>
      </c>
      <c r="BB433" s="234">
        <v>69.158878504672899</v>
      </c>
      <c r="BC433" s="20">
        <v>2014</v>
      </c>
      <c r="BD433" s="263" t="s">
        <v>556</v>
      </c>
      <c r="BE433" s="261" t="s">
        <v>556</v>
      </c>
      <c r="BF433" s="260" t="s">
        <v>557</v>
      </c>
      <c r="BG433" s="256">
        <v>4.6875</v>
      </c>
      <c r="BH433" s="254" t="s">
        <v>557</v>
      </c>
      <c r="BI433" s="249">
        <v>0</v>
      </c>
      <c r="BJ433" s="309" t="s">
        <v>557</v>
      </c>
      <c r="BK433" s="307" t="s">
        <v>557</v>
      </c>
      <c r="BL433" s="319" t="s">
        <v>1728</v>
      </c>
      <c r="BM433" s="320" t="s">
        <v>556</v>
      </c>
      <c r="BN433" s="321" t="s">
        <v>1781</v>
      </c>
      <c r="BO433" s="145" t="s">
        <v>557</v>
      </c>
      <c r="BP433" s="14" t="s">
        <v>557</v>
      </c>
      <c r="BQ433" s="14" t="s">
        <v>557</v>
      </c>
      <c r="BR433" s="56"/>
    </row>
    <row r="434" spans="1:94" s="56" customFormat="1" ht="13.95" customHeight="1" x14ac:dyDescent="0.3">
      <c r="A434" s="56" t="s">
        <v>459</v>
      </c>
      <c r="B434" s="57" t="s">
        <v>462</v>
      </c>
      <c r="C434" s="55" t="s">
        <v>448</v>
      </c>
      <c r="D434" s="58">
        <v>2</v>
      </c>
      <c r="E434" s="59"/>
      <c r="F434" s="60" t="s">
        <v>456</v>
      </c>
      <c r="G434" s="61" t="s">
        <v>531</v>
      </c>
      <c r="H434" s="61" t="s">
        <v>531</v>
      </c>
      <c r="I434" s="62" t="s">
        <v>531</v>
      </c>
      <c r="J434" s="63" t="s">
        <v>2448</v>
      </c>
      <c r="K434" s="99" t="s">
        <v>2447</v>
      </c>
      <c r="L434" s="130">
        <v>499397314</v>
      </c>
      <c r="M434" s="109" t="s">
        <v>564</v>
      </c>
      <c r="N434" s="12" t="s">
        <v>1665</v>
      </c>
      <c r="O434" s="100" t="s">
        <v>1666</v>
      </c>
      <c r="P434" s="131">
        <v>725081235</v>
      </c>
      <c r="Q434" s="82"/>
      <c r="R434" s="72"/>
      <c r="S434" s="115"/>
      <c r="T434" s="83"/>
      <c r="U434" s="170">
        <v>536900</v>
      </c>
      <c r="V434" s="48">
        <f t="shared" si="92"/>
        <v>3677.3972602739727</v>
      </c>
      <c r="W434" s="171">
        <f t="shared" si="93"/>
        <v>2194.6219703364286</v>
      </c>
      <c r="X434" s="69">
        <v>0</v>
      </c>
      <c r="Y434" s="48">
        <f t="shared" si="94"/>
        <v>0</v>
      </c>
      <c r="Z434" s="137">
        <f t="shared" si="95"/>
        <v>0</v>
      </c>
      <c r="AA434" s="69">
        <v>0</v>
      </c>
      <c r="AB434" s="48">
        <f t="shared" si="96"/>
        <v>0</v>
      </c>
      <c r="AC434" s="137">
        <f t="shared" si="97"/>
        <v>0</v>
      </c>
      <c r="AD434" s="70">
        <f t="shared" si="98"/>
        <v>536900</v>
      </c>
      <c r="AE434" s="71">
        <f t="shared" si="99"/>
        <v>3677.3972602739727</v>
      </c>
      <c r="AF434" s="193">
        <f t="shared" si="100"/>
        <v>2194.6219703364286</v>
      </c>
      <c r="AG434" s="185">
        <f t="shared" si="101"/>
        <v>5.776223776223776E-2</v>
      </c>
      <c r="AH434" s="180">
        <f t="shared" si="106"/>
        <v>0.23445414847161572</v>
      </c>
      <c r="AI434" s="189">
        <v>146</v>
      </c>
      <c r="AJ434" s="125">
        <v>244.64349999999999</v>
      </c>
      <c r="AK434" s="149">
        <v>71</v>
      </c>
      <c r="AL434" s="221">
        <v>40</v>
      </c>
      <c r="AM434" s="216">
        <v>100</v>
      </c>
      <c r="AN434" s="213">
        <v>17.241379310344829</v>
      </c>
      <c r="AO434" s="127">
        <v>1.859</v>
      </c>
      <c r="AP434" s="133">
        <v>0.45800000000000002</v>
      </c>
      <c r="AQ434" s="224">
        <f t="shared" si="102"/>
        <v>1.0977443609022557</v>
      </c>
      <c r="AR434" s="158">
        <v>133</v>
      </c>
      <c r="AS434" s="229">
        <f t="shared" si="103"/>
        <v>0.58634538152610438</v>
      </c>
      <c r="AT434" s="230">
        <v>249</v>
      </c>
      <c r="AU434" s="203">
        <v>15.753424657534246</v>
      </c>
      <c r="AV434" s="204">
        <v>62.328767123287662</v>
      </c>
      <c r="AW434" s="205">
        <v>21.917808219178081</v>
      </c>
      <c r="AX434" s="123">
        <v>4.2553000000000001</v>
      </c>
      <c r="AY434" s="281">
        <v>3.8461538461538463</v>
      </c>
      <c r="AZ434" s="282">
        <v>34.615384615384613</v>
      </c>
      <c r="BA434" s="283">
        <f t="shared" si="104"/>
        <v>61.538461538461547</v>
      </c>
      <c r="BB434" s="234">
        <v>95.454545454545453</v>
      </c>
      <c r="BC434" s="120" t="s">
        <v>1811</v>
      </c>
      <c r="BD434" s="263" t="s">
        <v>556</v>
      </c>
      <c r="BE434" s="262" t="s">
        <v>557</v>
      </c>
      <c r="BF434" s="260" t="s">
        <v>557</v>
      </c>
      <c r="BG434" s="256">
        <v>0</v>
      </c>
      <c r="BH434" s="248" t="s">
        <v>556</v>
      </c>
      <c r="BI434" s="249">
        <v>66.412213740458014</v>
      </c>
      <c r="BJ434" s="309" t="s">
        <v>557</v>
      </c>
      <c r="BK434" s="307" t="s">
        <v>557</v>
      </c>
      <c r="BL434" s="319" t="s">
        <v>1728</v>
      </c>
      <c r="BM434" s="320" t="s">
        <v>556</v>
      </c>
      <c r="BN434" s="321" t="s">
        <v>1781</v>
      </c>
      <c r="BO434" s="145" t="s">
        <v>557</v>
      </c>
      <c r="BP434" s="14" t="s">
        <v>556</v>
      </c>
      <c r="BQ434" s="14" t="s">
        <v>557</v>
      </c>
    </row>
    <row r="435" spans="1:94" s="56" customFormat="1" ht="13.95" customHeight="1" x14ac:dyDescent="0.3">
      <c r="A435" s="56" t="s">
        <v>459</v>
      </c>
      <c r="B435" s="57" t="s">
        <v>462</v>
      </c>
      <c r="C435" s="55" t="s">
        <v>110</v>
      </c>
      <c r="D435" s="58">
        <v>1</v>
      </c>
      <c r="E435" s="59"/>
      <c r="F435" s="60" t="s">
        <v>452</v>
      </c>
      <c r="G435" s="61" t="s">
        <v>7</v>
      </c>
      <c r="H435" s="61" t="s">
        <v>7</v>
      </c>
      <c r="I435" s="62" t="s">
        <v>7</v>
      </c>
      <c r="J435" s="63" t="s">
        <v>2449</v>
      </c>
      <c r="K435" s="99" t="s">
        <v>994</v>
      </c>
      <c r="L435" s="130">
        <v>724186943</v>
      </c>
      <c r="M435" s="109" t="s">
        <v>537</v>
      </c>
      <c r="N435" s="12" t="s">
        <v>993</v>
      </c>
      <c r="O435" s="100"/>
      <c r="P435" s="131">
        <v>725081341</v>
      </c>
      <c r="Q435" s="67"/>
      <c r="R435" s="68"/>
      <c r="S435" s="99"/>
      <c r="T435" s="65"/>
      <c r="U435" s="170">
        <v>0</v>
      </c>
      <c r="V435" s="48">
        <f t="shared" si="92"/>
        <v>0</v>
      </c>
      <c r="W435" s="171">
        <f t="shared" si="93"/>
        <v>0</v>
      </c>
      <c r="X435" s="69">
        <v>0</v>
      </c>
      <c r="Y435" s="48">
        <f t="shared" si="94"/>
        <v>0</v>
      </c>
      <c r="Z435" s="137">
        <f t="shared" si="95"/>
        <v>0</v>
      </c>
      <c r="AA435" s="69">
        <v>0</v>
      </c>
      <c r="AB435" s="48">
        <f t="shared" si="96"/>
        <v>0</v>
      </c>
      <c r="AC435" s="137">
        <f t="shared" si="97"/>
        <v>0</v>
      </c>
      <c r="AD435" s="70">
        <f t="shared" si="98"/>
        <v>0</v>
      </c>
      <c r="AE435" s="71">
        <f t="shared" si="99"/>
        <v>0</v>
      </c>
      <c r="AF435" s="193">
        <f t="shared" si="100"/>
        <v>0</v>
      </c>
      <c r="AG435" s="185">
        <f t="shared" si="101"/>
        <v>0</v>
      </c>
      <c r="AH435" s="180">
        <f t="shared" si="106"/>
        <v>0</v>
      </c>
      <c r="AI435" s="189">
        <v>222</v>
      </c>
      <c r="AJ435" s="125">
        <v>439.82339999999999</v>
      </c>
      <c r="AK435" s="149">
        <v>124</v>
      </c>
      <c r="AL435" s="221">
        <v>71</v>
      </c>
      <c r="AM435" s="216">
        <v>98.648648648648646</v>
      </c>
      <c r="AN435" s="213">
        <v>3.9370078740157481</v>
      </c>
      <c r="AO435" s="127">
        <v>3.859</v>
      </c>
      <c r="AP435" s="133">
        <v>1.79</v>
      </c>
      <c r="AQ435" s="224">
        <f t="shared" si="102"/>
        <v>1.088235294117647</v>
      </c>
      <c r="AR435" s="158">
        <v>204</v>
      </c>
      <c r="AS435" s="229">
        <f t="shared" si="103"/>
        <v>0.4713375796178344</v>
      </c>
      <c r="AT435" s="230">
        <v>471</v>
      </c>
      <c r="AU435" s="203">
        <v>20.72072072072072</v>
      </c>
      <c r="AV435" s="204">
        <v>60.36036036036036</v>
      </c>
      <c r="AW435" s="205">
        <v>18.918918918918919</v>
      </c>
      <c r="AX435" s="123">
        <v>9.4488000000000003</v>
      </c>
      <c r="AY435" s="281">
        <v>7.1428571428571423</v>
      </c>
      <c r="AZ435" s="282">
        <v>31.428571428571427</v>
      </c>
      <c r="BA435" s="283">
        <f t="shared" si="104"/>
        <v>61.428571428571431</v>
      </c>
      <c r="BB435" s="234">
        <v>72.222222222222229</v>
      </c>
      <c r="BC435" s="20">
        <v>2006</v>
      </c>
      <c r="BD435" s="263" t="s">
        <v>556</v>
      </c>
      <c r="BE435" s="261" t="s">
        <v>556</v>
      </c>
      <c r="BF435" s="259" t="s">
        <v>556</v>
      </c>
      <c r="BG435" s="256">
        <v>81.564245810055866</v>
      </c>
      <c r="BH435" s="248" t="s">
        <v>556</v>
      </c>
      <c r="BI435" s="249">
        <v>41.42011834319527</v>
      </c>
      <c r="BJ435" s="309" t="s">
        <v>557</v>
      </c>
      <c r="BK435" s="307" t="s">
        <v>557</v>
      </c>
      <c r="BL435" s="319" t="s">
        <v>1728</v>
      </c>
      <c r="BM435" s="320" t="s">
        <v>556</v>
      </c>
      <c r="BN435" s="321" t="s">
        <v>2055</v>
      </c>
      <c r="BO435" s="145" t="s">
        <v>557</v>
      </c>
      <c r="BP435" s="14" t="s">
        <v>557</v>
      </c>
      <c r="BQ435" s="14" t="s">
        <v>557</v>
      </c>
    </row>
    <row r="436" spans="1:94" s="72" customFormat="1" ht="13.95" customHeight="1" x14ac:dyDescent="0.3">
      <c r="A436" s="56" t="s">
        <v>459</v>
      </c>
      <c r="B436" s="57" t="s">
        <v>462</v>
      </c>
      <c r="C436" s="55" t="s">
        <v>296</v>
      </c>
      <c r="D436" s="58">
        <v>4</v>
      </c>
      <c r="E436" s="59" t="s">
        <v>669</v>
      </c>
      <c r="F436" s="60" t="s">
        <v>454</v>
      </c>
      <c r="G436" s="61" t="s">
        <v>242</v>
      </c>
      <c r="H436" s="61" t="s">
        <v>242</v>
      </c>
      <c r="I436" s="62" t="s">
        <v>242</v>
      </c>
      <c r="J436" s="63" t="s">
        <v>2445</v>
      </c>
      <c r="K436" s="99" t="s">
        <v>1679</v>
      </c>
      <c r="L436" s="130">
        <v>491812909</v>
      </c>
      <c r="M436" s="109" t="s">
        <v>564</v>
      </c>
      <c r="N436" s="12" t="s">
        <v>1389</v>
      </c>
      <c r="O436" s="100"/>
      <c r="P436" s="131">
        <v>721709704</v>
      </c>
      <c r="Q436" s="67"/>
      <c r="R436" s="68"/>
      <c r="S436" s="99"/>
      <c r="T436" s="65"/>
      <c r="U436" s="170">
        <v>0</v>
      </c>
      <c r="V436" s="48">
        <f t="shared" si="92"/>
        <v>0</v>
      </c>
      <c r="W436" s="171">
        <f t="shared" si="93"/>
        <v>0</v>
      </c>
      <c r="X436" s="69">
        <v>72000</v>
      </c>
      <c r="Y436" s="48">
        <f t="shared" si="94"/>
        <v>160.35634743875278</v>
      </c>
      <c r="Z436" s="137">
        <f t="shared" si="95"/>
        <v>77.284837670175577</v>
      </c>
      <c r="AA436" s="69">
        <v>0</v>
      </c>
      <c r="AB436" s="48">
        <f t="shared" si="96"/>
        <v>0</v>
      </c>
      <c r="AC436" s="137">
        <f t="shared" si="97"/>
        <v>0</v>
      </c>
      <c r="AD436" s="70">
        <f t="shared" si="98"/>
        <v>72000</v>
      </c>
      <c r="AE436" s="71">
        <f t="shared" si="99"/>
        <v>160.35634743875278</v>
      </c>
      <c r="AF436" s="193">
        <f t="shared" si="100"/>
        <v>77.284837670175577</v>
      </c>
      <c r="AG436" s="185">
        <f t="shared" si="101"/>
        <v>3.0756087142246899E-3</v>
      </c>
      <c r="AH436" s="180">
        <f t="shared" si="106"/>
        <v>7.5392670157068062E-2</v>
      </c>
      <c r="AI436" s="189">
        <v>449</v>
      </c>
      <c r="AJ436" s="125">
        <v>931.61869999999999</v>
      </c>
      <c r="AK436" s="149">
        <v>164</v>
      </c>
      <c r="AL436" s="221">
        <v>114</v>
      </c>
      <c r="AM436" s="216">
        <v>85.234899328859058</v>
      </c>
      <c r="AN436" s="213">
        <v>2.7027027027027031</v>
      </c>
      <c r="AO436" s="127">
        <v>4.6820000000000004</v>
      </c>
      <c r="AP436" s="133">
        <v>0.191</v>
      </c>
      <c r="AQ436" s="224">
        <f t="shared" si="102"/>
        <v>1.2369146005509641</v>
      </c>
      <c r="AR436" s="158">
        <v>363</v>
      </c>
      <c r="AS436" s="229">
        <f t="shared" si="103"/>
        <v>0.75209380234505863</v>
      </c>
      <c r="AT436" s="230">
        <v>597</v>
      </c>
      <c r="AU436" s="203">
        <v>18.262806236080177</v>
      </c>
      <c r="AV436" s="204">
        <v>69.042316258351889</v>
      </c>
      <c r="AW436" s="205">
        <v>12.694877505567929</v>
      </c>
      <c r="AX436" s="123">
        <v>6.6879</v>
      </c>
      <c r="AY436" s="281">
        <v>13.953488372093023</v>
      </c>
      <c r="AZ436" s="282">
        <v>26.511627906976742</v>
      </c>
      <c r="BA436" s="283">
        <f t="shared" si="104"/>
        <v>59.534883720930239</v>
      </c>
      <c r="BB436" s="234">
        <v>77.64705882352942</v>
      </c>
      <c r="BC436" s="20">
        <v>2001</v>
      </c>
      <c r="BD436" s="263" t="s">
        <v>556</v>
      </c>
      <c r="BE436" s="261" t="s">
        <v>556</v>
      </c>
      <c r="BF436" s="260" t="s">
        <v>557</v>
      </c>
      <c r="BG436" s="256">
        <v>13.615023474178404</v>
      </c>
      <c r="BH436" s="254" t="s">
        <v>557</v>
      </c>
      <c r="BI436" s="249">
        <v>0</v>
      </c>
      <c r="BJ436" s="309" t="s">
        <v>557</v>
      </c>
      <c r="BK436" s="307" t="s">
        <v>557</v>
      </c>
      <c r="BL436" s="319" t="s">
        <v>1728</v>
      </c>
      <c r="BM436" s="320" t="s">
        <v>556</v>
      </c>
      <c r="BN436" s="321" t="s">
        <v>1803</v>
      </c>
      <c r="BO436" s="145" t="s">
        <v>557</v>
      </c>
      <c r="BP436" s="14" t="s">
        <v>556</v>
      </c>
      <c r="BQ436" s="14" t="s">
        <v>557</v>
      </c>
      <c r="BR436" s="56"/>
    </row>
    <row r="437" spans="1:94" s="56" customFormat="1" ht="13.95" customHeight="1" x14ac:dyDescent="0.3">
      <c r="A437" s="56" t="s">
        <v>459</v>
      </c>
      <c r="B437" s="57" t="s">
        <v>462</v>
      </c>
      <c r="C437" s="55" t="s">
        <v>373</v>
      </c>
      <c r="D437" s="58">
        <v>1</v>
      </c>
      <c r="E437" s="59"/>
      <c r="F437" s="60" t="s">
        <v>455</v>
      </c>
      <c r="G437" s="61" t="s">
        <v>528</v>
      </c>
      <c r="H437" s="61" t="s">
        <v>336</v>
      </c>
      <c r="I437" s="62" t="s">
        <v>336</v>
      </c>
      <c r="J437" s="63" t="s">
        <v>2436</v>
      </c>
      <c r="K437" s="99" t="s">
        <v>1530</v>
      </c>
      <c r="L437" s="130">
        <v>494546811</v>
      </c>
      <c r="M437" s="109" t="s">
        <v>564</v>
      </c>
      <c r="N437" s="12" t="s">
        <v>1529</v>
      </c>
      <c r="O437" s="100"/>
      <c r="P437" s="131">
        <v>724183256</v>
      </c>
      <c r="Q437" s="84"/>
      <c r="S437" s="105"/>
      <c r="T437" s="112"/>
      <c r="U437" s="170">
        <v>294176</v>
      </c>
      <c r="V437" s="48">
        <f t="shared" si="92"/>
        <v>457.50544323483672</v>
      </c>
      <c r="W437" s="171">
        <f t="shared" si="93"/>
        <v>533.74643089188828</v>
      </c>
      <c r="X437" s="69">
        <v>415800</v>
      </c>
      <c r="Y437" s="48">
        <f t="shared" si="94"/>
        <v>646.65629860031106</v>
      </c>
      <c r="Z437" s="137">
        <f t="shared" si="95"/>
        <v>754.41832768426775</v>
      </c>
      <c r="AA437" s="69">
        <v>0</v>
      </c>
      <c r="AB437" s="48">
        <f t="shared" si="96"/>
        <v>0</v>
      </c>
      <c r="AC437" s="137">
        <f t="shared" si="97"/>
        <v>0</v>
      </c>
      <c r="AD437" s="70">
        <f t="shared" si="98"/>
        <v>709976</v>
      </c>
      <c r="AE437" s="71">
        <f t="shared" si="99"/>
        <v>1104.1617418351477</v>
      </c>
      <c r="AF437" s="193">
        <f t="shared" si="100"/>
        <v>1288.1647585761561</v>
      </c>
      <c r="AG437" s="185">
        <f t="shared" si="101"/>
        <v>1.5947349505840071E-2</v>
      </c>
      <c r="AH437" s="180">
        <f t="shared" si="106"/>
        <v>4.5790132215414378E-2</v>
      </c>
      <c r="AI437" s="189">
        <v>643</v>
      </c>
      <c r="AJ437" s="125">
        <v>551.15309999999999</v>
      </c>
      <c r="AK437" s="149">
        <v>248</v>
      </c>
      <c r="AL437" s="221">
        <v>189</v>
      </c>
      <c r="AM437" s="216">
        <v>96.860986547085204</v>
      </c>
      <c r="AN437" s="213">
        <v>2.6217228464419478</v>
      </c>
      <c r="AO437" s="127">
        <v>8.9039999999999999</v>
      </c>
      <c r="AP437" s="133">
        <v>3.101</v>
      </c>
      <c r="AQ437" s="224">
        <f t="shared" si="102"/>
        <v>1.0238853503184713</v>
      </c>
      <c r="AR437" s="158">
        <v>628</v>
      </c>
      <c r="AS437" s="229">
        <f t="shared" si="103"/>
        <v>0.77657004830917875</v>
      </c>
      <c r="AT437" s="230">
        <v>828</v>
      </c>
      <c r="AU437" s="203">
        <v>13.374805598755831</v>
      </c>
      <c r="AV437" s="204">
        <v>69.673405909797822</v>
      </c>
      <c r="AW437" s="205">
        <v>16.951788491446347</v>
      </c>
      <c r="AX437" s="123">
        <v>3.0973000000000002</v>
      </c>
      <c r="AY437" s="281">
        <v>4.6428571428571432</v>
      </c>
      <c r="AZ437" s="282">
        <v>44.642857142857146</v>
      </c>
      <c r="BA437" s="283">
        <f t="shared" si="104"/>
        <v>50.714285714285715</v>
      </c>
      <c r="BB437" s="234">
        <v>83.687943262411352</v>
      </c>
      <c r="BC437" s="20">
        <v>2011</v>
      </c>
      <c r="BD437" s="263" t="s">
        <v>556</v>
      </c>
      <c r="BE437" s="261" t="s">
        <v>556</v>
      </c>
      <c r="BF437" s="259" t="s">
        <v>556</v>
      </c>
      <c r="BG437" s="256">
        <v>20.355411954765749</v>
      </c>
      <c r="BH437" s="248" t="s">
        <v>556</v>
      </c>
      <c r="BI437" s="249">
        <v>34.596375617792425</v>
      </c>
      <c r="BJ437" s="308" t="s">
        <v>556</v>
      </c>
      <c r="BK437" s="307" t="s">
        <v>750</v>
      </c>
      <c r="BL437" s="319" t="s">
        <v>1728</v>
      </c>
      <c r="BM437" s="320" t="s">
        <v>556</v>
      </c>
      <c r="BN437" s="321" t="s">
        <v>1803</v>
      </c>
      <c r="BO437" s="145" t="s">
        <v>557</v>
      </c>
      <c r="BP437" s="14" t="s">
        <v>557</v>
      </c>
      <c r="BQ437" s="14" t="s">
        <v>556</v>
      </c>
    </row>
    <row r="438" spans="1:94" s="56" customFormat="1" ht="13.95" customHeight="1" x14ac:dyDescent="0.3">
      <c r="A438" s="56" t="s">
        <v>459</v>
      </c>
      <c r="B438" s="57" t="s">
        <v>462</v>
      </c>
      <c r="C438" s="55" t="s">
        <v>216</v>
      </c>
      <c r="D438" s="58">
        <v>2</v>
      </c>
      <c r="E438" s="59"/>
      <c r="F438" s="60" t="s">
        <v>453</v>
      </c>
      <c r="G438" s="61" t="s">
        <v>113</v>
      </c>
      <c r="H438" s="61" t="s">
        <v>159</v>
      </c>
      <c r="I438" s="62" t="s">
        <v>159</v>
      </c>
      <c r="J438" s="63" t="s">
        <v>2450</v>
      </c>
      <c r="K438" s="99" t="s">
        <v>1209</v>
      </c>
      <c r="L438" s="130">
        <v>493576295</v>
      </c>
      <c r="M438" s="109" t="s">
        <v>564</v>
      </c>
      <c r="N438" s="12" t="s">
        <v>1208</v>
      </c>
      <c r="O438" s="100"/>
      <c r="P438" s="131">
        <v>603505340</v>
      </c>
      <c r="Q438" s="67"/>
      <c r="R438" s="68"/>
      <c r="S438" s="99"/>
      <c r="T438" s="65"/>
      <c r="U438" s="170">
        <v>0</v>
      </c>
      <c r="V438" s="48">
        <f t="shared" si="92"/>
        <v>0</v>
      </c>
      <c r="W438" s="171">
        <f t="shared" si="93"/>
        <v>0</v>
      </c>
      <c r="X438" s="69">
        <v>0</v>
      </c>
      <c r="Y438" s="48">
        <f t="shared" si="94"/>
        <v>0</v>
      </c>
      <c r="Z438" s="137">
        <f t="shared" si="95"/>
        <v>0</v>
      </c>
      <c r="AA438" s="69">
        <v>0</v>
      </c>
      <c r="AB438" s="48">
        <f t="shared" si="96"/>
        <v>0</v>
      </c>
      <c r="AC438" s="137">
        <f t="shared" si="97"/>
        <v>0</v>
      </c>
      <c r="AD438" s="70">
        <f t="shared" si="98"/>
        <v>0</v>
      </c>
      <c r="AE438" s="71">
        <f t="shared" si="99"/>
        <v>0</v>
      </c>
      <c r="AF438" s="193">
        <f t="shared" si="100"/>
        <v>0</v>
      </c>
      <c r="AG438" s="185">
        <f t="shared" si="101"/>
        <v>0</v>
      </c>
      <c r="AH438" s="180">
        <f t="shared" si="106"/>
        <v>0</v>
      </c>
      <c r="AI438" s="189">
        <v>128</v>
      </c>
      <c r="AJ438" s="125">
        <v>439.72480000000002</v>
      </c>
      <c r="AK438" s="149">
        <v>205</v>
      </c>
      <c r="AL438" s="221">
        <v>49</v>
      </c>
      <c r="AM438" s="216">
        <v>98.076923076923066</v>
      </c>
      <c r="AN438" s="213">
        <v>12.264150943396226</v>
      </c>
      <c r="AO438" s="127">
        <v>1.155</v>
      </c>
      <c r="AP438" s="133">
        <v>0.113</v>
      </c>
      <c r="AQ438" s="224">
        <f t="shared" si="102"/>
        <v>1.641025641025641</v>
      </c>
      <c r="AR438" s="158">
        <v>78</v>
      </c>
      <c r="AS438" s="229">
        <f t="shared" si="103"/>
        <v>0.48301886792452831</v>
      </c>
      <c r="AT438" s="230">
        <v>265</v>
      </c>
      <c r="AU438" s="203">
        <v>17.96875</v>
      </c>
      <c r="AV438" s="204">
        <v>64.0625</v>
      </c>
      <c r="AW438" s="205">
        <v>17.96875</v>
      </c>
      <c r="AX438" s="123">
        <v>1.2345999999999999</v>
      </c>
      <c r="AY438" s="281">
        <v>0</v>
      </c>
      <c r="AZ438" s="282">
        <v>40.425531914893611</v>
      </c>
      <c r="BA438" s="283">
        <f t="shared" si="104"/>
        <v>59.574468085106389</v>
      </c>
      <c r="BB438" s="234">
        <v>100</v>
      </c>
      <c r="BC438" s="20">
        <v>1994</v>
      </c>
      <c r="BD438" s="263" t="s">
        <v>556</v>
      </c>
      <c r="BE438" s="261" t="s">
        <v>556</v>
      </c>
      <c r="BF438" s="260" t="s">
        <v>557</v>
      </c>
      <c r="BG438" s="256">
        <v>22.047244094488189</v>
      </c>
      <c r="BH438" s="254" t="s">
        <v>557</v>
      </c>
      <c r="BI438" s="249">
        <v>0</v>
      </c>
      <c r="BJ438" s="309" t="s">
        <v>557</v>
      </c>
      <c r="BK438" s="307" t="s">
        <v>557</v>
      </c>
      <c r="BL438" s="319" t="s">
        <v>557</v>
      </c>
      <c r="BM438" s="320" t="s">
        <v>557</v>
      </c>
      <c r="BN438" s="321" t="s">
        <v>557</v>
      </c>
      <c r="BO438" s="145" t="s">
        <v>557</v>
      </c>
      <c r="BP438" s="14" t="s">
        <v>557</v>
      </c>
      <c r="BQ438" s="14" t="s">
        <v>557</v>
      </c>
      <c r="BR438" s="72"/>
    </row>
    <row r="439" spans="1:94" s="72" customFormat="1" ht="13.95" customHeight="1" x14ac:dyDescent="0.3">
      <c r="A439" s="56" t="s">
        <v>459</v>
      </c>
      <c r="B439" s="57" t="s">
        <v>462</v>
      </c>
      <c r="C439" s="55" t="s">
        <v>111</v>
      </c>
      <c r="D439" s="58">
        <v>1</v>
      </c>
      <c r="E439" s="59"/>
      <c r="F439" s="60" t="s">
        <v>452</v>
      </c>
      <c r="G439" s="61" t="s">
        <v>7</v>
      </c>
      <c r="H439" s="61" t="s">
        <v>7</v>
      </c>
      <c r="I439" s="62" t="s">
        <v>7</v>
      </c>
      <c r="J439" s="63" t="s">
        <v>2453</v>
      </c>
      <c r="K439" s="99" t="s">
        <v>996</v>
      </c>
      <c r="L439" s="130" t="s">
        <v>2452</v>
      </c>
      <c r="M439" s="109" t="s">
        <v>564</v>
      </c>
      <c r="N439" s="12" t="s">
        <v>995</v>
      </c>
      <c r="O439" s="100"/>
      <c r="P439" s="131" t="s">
        <v>2451</v>
      </c>
      <c r="Q439" s="67"/>
      <c r="R439" s="68"/>
      <c r="S439" s="99"/>
      <c r="T439" s="65"/>
      <c r="U439" s="170">
        <v>71000</v>
      </c>
      <c r="V439" s="48">
        <f t="shared" si="92"/>
        <v>430.30303030303031</v>
      </c>
      <c r="W439" s="171">
        <f t="shared" si="93"/>
        <v>130.86766366936709</v>
      </c>
      <c r="X439" s="69">
        <v>57172</v>
      </c>
      <c r="Y439" s="48">
        <f t="shared" si="94"/>
        <v>346.4969696969697</v>
      </c>
      <c r="Z439" s="137">
        <f t="shared" si="95"/>
        <v>105.37980376485994</v>
      </c>
      <c r="AA439" s="69">
        <v>0</v>
      </c>
      <c r="AB439" s="48">
        <f t="shared" si="96"/>
        <v>0</v>
      </c>
      <c r="AC439" s="137">
        <f t="shared" si="97"/>
        <v>0</v>
      </c>
      <c r="AD439" s="70">
        <f t="shared" si="98"/>
        <v>128172</v>
      </c>
      <c r="AE439" s="71">
        <f t="shared" si="99"/>
        <v>776.8</v>
      </c>
      <c r="AF439" s="193">
        <f t="shared" si="100"/>
        <v>236.24746743422705</v>
      </c>
      <c r="AG439" s="185">
        <f t="shared" si="101"/>
        <v>8.2346289752650171E-3</v>
      </c>
      <c r="AH439" s="180">
        <f t="shared" si="106"/>
        <v>1.136276595744681E-2</v>
      </c>
      <c r="AI439" s="189">
        <v>165</v>
      </c>
      <c r="AJ439" s="125">
        <v>542.53279999999995</v>
      </c>
      <c r="AK439" s="149">
        <v>71</v>
      </c>
      <c r="AL439" s="221">
        <v>54</v>
      </c>
      <c r="AM439" s="216">
        <v>100</v>
      </c>
      <c r="AN439" s="213">
        <v>15.584415584415584</v>
      </c>
      <c r="AO439" s="127">
        <v>3.113</v>
      </c>
      <c r="AP439" s="133">
        <v>2.2559999999999998</v>
      </c>
      <c r="AQ439" s="224">
        <f t="shared" si="102"/>
        <v>1.064516129032258</v>
      </c>
      <c r="AR439" s="158">
        <v>155</v>
      </c>
      <c r="AS439" s="229">
        <f t="shared" si="103"/>
        <v>0.54276315789473684</v>
      </c>
      <c r="AT439" s="230">
        <v>304</v>
      </c>
      <c r="AU439" s="203">
        <v>10.303030303030303</v>
      </c>
      <c r="AV439" s="204">
        <v>73.939393939393952</v>
      </c>
      <c r="AW439" s="205">
        <v>15.757575757575756</v>
      </c>
      <c r="AX439" s="123">
        <v>8.1301000000000005</v>
      </c>
      <c r="AY439" s="281">
        <v>9.4117647058823533</v>
      </c>
      <c r="AZ439" s="282">
        <v>32.941176470588232</v>
      </c>
      <c r="BA439" s="283">
        <f t="shared" si="104"/>
        <v>57.64705882352942</v>
      </c>
      <c r="BB439" s="234">
        <v>100</v>
      </c>
      <c r="BC439" s="20">
        <v>2018</v>
      </c>
      <c r="BD439" s="263" t="s">
        <v>556</v>
      </c>
      <c r="BE439" s="261" t="s">
        <v>556</v>
      </c>
      <c r="BF439" s="260" t="s">
        <v>557</v>
      </c>
      <c r="BG439" s="256">
        <v>36.585365853658537</v>
      </c>
      <c r="BH439" s="248" t="s">
        <v>556</v>
      </c>
      <c r="BI439" s="249">
        <v>48.148148148148145</v>
      </c>
      <c r="BJ439" s="309" t="s">
        <v>557</v>
      </c>
      <c r="BK439" s="307" t="s">
        <v>557</v>
      </c>
      <c r="BL439" s="319" t="s">
        <v>1728</v>
      </c>
      <c r="BM439" s="320" t="s">
        <v>556</v>
      </c>
      <c r="BN439" s="321" t="s">
        <v>2454</v>
      </c>
      <c r="BO439" s="145" t="s">
        <v>557</v>
      </c>
      <c r="BP439" s="14" t="s">
        <v>556</v>
      </c>
      <c r="BQ439" s="14" t="s">
        <v>557</v>
      </c>
      <c r="BR439" s="56"/>
    </row>
    <row r="440" spans="1:94" s="56" customFormat="1" ht="13.95" customHeight="1" x14ac:dyDescent="0.3">
      <c r="A440" s="3" t="s">
        <v>459</v>
      </c>
      <c r="B440" s="57" t="s">
        <v>462</v>
      </c>
      <c r="C440" s="55" t="s">
        <v>374</v>
      </c>
      <c r="D440" s="58">
        <v>1</v>
      </c>
      <c r="E440" s="59"/>
      <c r="F440" s="60" t="s">
        <v>455</v>
      </c>
      <c r="G440" s="61" t="s">
        <v>529</v>
      </c>
      <c r="H440" s="61" t="s">
        <v>529</v>
      </c>
      <c r="I440" s="62" t="s">
        <v>529</v>
      </c>
      <c r="J440" s="117" t="s">
        <v>2455</v>
      </c>
      <c r="K440" s="100" t="s">
        <v>1532</v>
      </c>
      <c r="L440" s="131">
        <v>494381469</v>
      </c>
      <c r="M440" s="109" t="s">
        <v>564</v>
      </c>
      <c r="N440" s="12" t="s">
        <v>1531</v>
      </c>
      <c r="O440" s="100"/>
      <c r="P440" s="131">
        <v>777179053</v>
      </c>
      <c r="Q440" s="82"/>
      <c r="R440" s="80"/>
      <c r="S440" s="116"/>
      <c r="T440" s="241"/>
      <c r="U440" s="170">
        <v>715000</v>
      </c>
      <c r="V440" s="48">
        <f t="shared" si="92"/>
        <v>2871.4859437751006</v>
      </c>
      <c r="W440" s="171">
        <f t="shared" si="93"/>
        <v>2133.5991131389419</v>
      </c>
      <c r="X440" s="69">
        <v>0</v>
      </c>
      <c r="Y440" s="48">
        <f t="shared" si="94"/>
        <v>0</v>
      </c>
      <c r="Z440" s="137">
        <f t="shared" si="95"/>
        <v>0</v>
      </c>
      <c r="AA440" s="69">
        <v>0</v>
      </c>
      <c r="AB440" s="48">
        <f t="shared" si="96"/>
        <v>0</v>
      </c>
      <c r="AC440" s="137">
        <f t="shared" si="97"/>
        <v>0</v>
      </c>
      <c r="AD440" s="70">
        <f t="shared" si="98"/>
        <v>715000</v>
      </c>
      <c r="AE440" s="71">
        <f t="shared" si="99"/>
        <v>2871.4859437751006</v>
      </c>
      <c r="AF440" s="193">
        <f t="shared" si="100"/>
        <v>2133.5991131389419</v>
      </c>
      <c r="AG440" s="185">
        <f t="shared" si="101"/>
        <v>6.9316529326223938E-2</v>
      </c>
      <c r="AH440" s="180">
        <f t="shared" si="106"/>
        <v>2.2000000000000002</v>
      </c>
      <c r="AI440" s="189">
        <v>249</v>
      </c>
      <c r="AJ440" s="125">
        <v>335.11450000000002</v>
      </c>
      <c r="AK440" s="149">
        <v>134</v>
      </c>
      <c r="AL440" s="221">
        <v>71</v>
      </c>
      <c r="AM440" s="216">
        <v>100</v>
      </c>
      <c r="AN440" s="213">
        <v>0.83333333333333337</v>
      </c>
      <c r="AO440" s="127">
        <v>2.0630000000000002</v>
      </c>
      <c r="AP440" s="133">
        <v>6.5000000000000002E-2</v>
      </c>
      <c r="AQ440" s="224">
        <f t="shared" si="102"/>
        <v>1.2326732673267327</v>
      </c>
      <c r="AR440" s="158">
        <v>202</v>
      </c>
      <c r="AS440" s="229">
        <f t="shared" si="103"/>
        <v>0.51024590163934425</v>
      </c>
      <c r="AT440" s="230">
        <v>488</v>
      </c>
      <c r="AU440" s="203">
        <v>17.269076305220885</v>
      </c>
      <c r="AV440" s="204">
        <v>64.658634538152597</v>
      </c>
      <c r="AW440" s="205">
        <v>18.072289156626507</v>
      </c>
      <c r="AX440" s="123">
        <v>4.8780000000000001</v>
      </c>
      <c r="AY440" s="281">
        <v>7.0000000000000009</v>
      </c>
      <c r="AZ440" s="282">
        <v>45</v>
      </c>
      <c r="BA440" s="283">
        <f t="shared" si="104"/>
        <v>48</v>
      </c>
      <c r="BB440" s="234">
        <v>100</v>
      </c>
      <c r="BC440" s="19">
        <v>2002</v>
      </c>
      <c r="BD440" s="263" t="s">
        <v>556</v>
      </c>
      <c r="BE440" s="261" t="s">
        <v>556</v>
      </c>
      <c r="BF440" s="259" t="s">
        <v>556</v>
      </c>
      <c r="BG440" s="256">
        <v>35.807860262008731</v>
      </c>
      <c r="BH440" s="254" t="s">
        <v>557</v>
      </c>
      <c r="BI440" s="249">
        <v>0</v>
      </c>
      <c r="BJ440" s="309" t="s">
        <v>557</v>
      </c>
      <c r="BK440" s="307" t="s">
        <v>557</v>
      </c>
      <c r="BL440" s="319" t="s">
        <v>1728</v>
      </c>
      <c r="BM440" s="320" t="s">
        <v>556</v>
      </c>
      <c r="BN440" s="321" t="s">
        <v>1781</v>
      </c>
      <c r="BO440" s="21" t="s">
        <v>557</v>
      </c>
      <c r="BP440" s="10" t="s">
        <v>557</v>
      </c>
      <c r="BQ440" s="10" t="s">
        <v>557</v>
      </c>
      <c r="BR440" s="3"/>
    </row>
    <row r="441" spans="1:94" s="72" customFormat="1" ht="13.95" customHeight="1" x14ac:dyDescent="0.3">
      <c r="A441" s="3" t="s">
        <v>459</v>
      </c>
      <c r="B441" s="57" t="s">
        <v>462</v>
      </c>
      <c r="C441" s="55" t="s">
        <v>449</v>
      </c>
      <c r="D441" s="58">
        <v>1</v>
      </c>
      <c r="E441" s="59"/>
      <c r="F441" s="60" t="s">
        <v>456</v>
      </c>
      <c r="G441" s="61" t="s">
        <v>531</v>
      </c>
      <c r="H441" s="61" t="s">
        <v>531</v>
      </c>
      <c r="I441" s="62" t="s">
        <v>531</v>
      </c>
      <c r="J441" s="117" t="s">
        <v>2456</v>
      </c>
      <c r="K441" s="143" t="s">
        <v>1668</v>
      </c>
      <c r="L441" s="131"/>
      <c r="M441" s="109" t="s">
        <v>564</v>
      </c>
      <c r="N441" s="12" t="s">
        <v>1667</v>
      </c>
      <c r="O441" s="100"/>
      <c r="P441" s="131">
        <v>606263021</v>
      </c>
      <c r="Q441" s="82"/>
      <c r="R441" s="80"/>
      <c r="S441" s="116"/>
      <c r="T441" s="333"/>
      <c r="U441" s="170">
        <v>0</v>
      </c>
      <c r="V441" s="48">
        <f t="shared" si="92"/>
        <v>0</v>
      </c>
      <c r="W441" s="171">
        <f t="shared" si="93"/>
        <v>0</v>
      </c>
      <c r="X441" s="69">
        <v>96000</v>
      </c>
      <c r="Y441" s="48">
        <f t="shared" si="94"/>
        <v>880.73394495412845</v>
      </c>
      <c r="Z441" s="137">
        <f t="shared" si="95"/>
        <v>456.99792351568505</v>
      </c>
      <c r="AA441" s="69">
        <v>0</v>
      </c>
      <c r="AB441" s="48">
        <f t="shared" si="96"/>
        <v>0</v>
      </c>
      <c r="AC441" s="137">
        <f t="shared" si="97"/>
        <v>0</v>
      </c>
      <c r="AD441" s="70">
        <f t="shared" si="98"/>
        <v>96000</v>
      </c>
      <c r="AE441" s="71">
        <f t="shared" si="99"/>
        <v>880.73394495412845</v>
      </c>
      <c r="AF441" s="193">
        <f t="shared" si="100"/>
        <v>456.99792351568505</v>
      </c>
      <c r="AG441" s="185">
        <f t="shared" si="101"/>
        <v>1.6623376623376623E-2</v>
      </c>
      <c r="AH441" s="180">
        <f t="shared" si="106"/>
        <v>0.1116279069767442</v>
      </c>
      <c r="AI441" s="189">
        <v>109</v>
      </c>
      <c r="AJ441" s="125">
        <v>210.06659999999999</v>
      </c>
      <c r="AK441" s="149">
        <v>70</v>
      </c>
      <c r="AL441" s="221">
        <v>34</v>
      </c>
      <c r="AM441" s="216">
        <v>100</v>
      </c>
      <c r="AN441" s="213">
        <v>21.538461538461537</v>
      </c>
      <c r="AO441" s="127">
        <v>1.155</v>
      </c>
      <c r="AP441" s="133">
        <v>0.17199999999999999</v>
      </c>
      <c r="AQ441" s="224">
        <f t="shared" si="102"/>
        <v>0.98198198198198194</v>
      </c>
      <c r="AR441" s="158">
        <v>111</v>
      </c>
      <c r="AS441" s="229">
        <f t="shared" si="103"/>
        <v>0.49099099099099097</v>
      </c>
      <c r="AT441" s="230">
        <v>222</v>
      </c>
      <c r="AU441" s="203">
        <v>15.596330275229359</v>
      </c>
      <c r="AV441" s="204">
        <v>60.550458715596321</v>
      </c>
      <c r="AW441" s="205">
        <v>23.853211009174313</v>
      </c>
      <c r="AX441" s="123">
        <v>6.4516</v>
      </c>
      <c r="AY441" s="281">
        <v>4.7619047619047619</v>
      </c>
      <c r="AZ441" s="282">
        <v>52.380952380952387</v>
      </c>
      <c r="BA441" s="283">
        <f t="shared" si="104"/>
        <v>42.857142857142854</v>
      </c>
      <c r="BB441" s="234">
        <v>96.153846153846146</v>
      </c>
      <c r="BC441" s="19">
        <v>2015</v>
      </c>
      <c r="BD441" s="263" t="s">
        <v>556</v>
      </c>
      <c r="BE441" s="262" t="s">
        <v>557</v>
      </c>
      <c r="BF441" s="260" t="s">
        <v>557</v>
      </c>
      <c r="BG441" s="256">
        <v>0</v>
      </c>
      <c r="BH441" s="248" t="s">
        <v>556</v>
      </c>
      <c r="BI441" s="249">
        <v>60.396039603960396</v>
      </c>
      <c r="BJ441" s="309" t="s">
        <v>557</v>
      </c>
      <c r="BK441" s="307" t="s">
        <v>557</v>
      </c>
      <c r="BL441" s="319" t="s">
        <v>1728</v>
      </c>
      <c r="BM441" s="320" t="s">
        <v>557</v>
      </c>
      <c r="BN441" s="321" t="s">
        <v>1838</v>
      </c>
      <c r="BO441" s="21" t="s">
        <v>557</v>
      </c>
      <c r="BP441" s="10" t="s">
        <v>557</v>
      </c>
      <c r="BQ441" s="10" t="s">
        <v>557</v>
      </c>
      <c r="BR441" s="80"/>
    </row>
    <row r="442" spans="1:94" s="56" customFormat="1" ht="13.95" customHeight="1" x14ac:dyDescent="0.3">
      <c r="A442" s="3" t="s">
        <v>459</v>
      </c>
      <c r="B442" s="57" t="s">
        <v>462</v>
      </c>
      <c r="C442" s="55" t="s">
        <v>375</v>
      </c>
      <c r="D442" s="58">
        <v>1</v>
      </c>
      <c r="E442" s="97" t="s">
        <v>897</v>
      </c>
      <c r="F442" s="60" t="s">
        <v>455</v>
      </c>
      <c r="G442" s="61" t="s">
        <v>528</v>
      </c>
      <c r="H442" s="61" t="s">
        <v>528</v>
      </c>
      <c r="I442" s="62" t="s">
        <v>528</v>
      </c>
      <c r="J442" s="117" t="s">
        <v>2459</v>
      </c>
      <c r="K442" s="100" t="s">
        <v>2458</v>
      </c>
      <c r="L442" s="131">
        <v>494592156</v>
      </c>
      <c r="M442" s="109" t="s">
        <v>564</v>
      </c>
      <c r="N442" s="12" t="s">
        <v>1533</v>
      </c>
      <c r="O442" s="100" t="s">
        <v>1678</v>
      </c>
      <c r="P442" s="131">
        <v>602342993</v>
      </c>
      <c r="Q442" s="84"/>
      <c r="R442" s="3"/>
      <c r="S442" s="2"/>
      <c r="T442" s="241"/>
      <c r="U442" s="170">
        <v>234000</v>
      </c>
      <c r="V442" s="48">
        <f t="shared" si="92"/>
        <v>1212.4352331606217</v>
      </c>
      <c r="W442" s="171">
        <f t="shared" si="93"/>
        <v>70.805371767538105</v>
      </c>
      <c r="X442" s="69">
        <v>0</v>
      </c>
      <c r="Y442" s="48">
        <f t="shared" si="94"/>
        <v>0</v>
      </c>
      <c r="Z442" s="137">
        <f t="shared" si="95"/>
        <v>0</v>
      </c>
      <c r="AA442" s="69">
        <v>0</v>
      </c>
      <c r="AB442" s="48">
        <f t="shared" si="96"/>
        <v>0</v>
      </c>
      <c r="AC442" s="137">
        <f t="shared" si="97"/>
        <v>0</v>
      </c>
      <c r="AD442" s="70">
        <f t="shared" si="98"/>
        <v>234000</v>
      </c>
      <c r="AE442" s="71">
        <f t="shared" si="99"/>
        <v>1212.4352331606217</v>
      </c>
      <c r="AF442" s="193">
        <f t="shared" si="100"/>
        <v>70.805371767538105</v>
      </c>
      <c r="AG442" s="185">
        <f t="shared" si="101"/>
        <v>1.3209144792548687E-2</v>
      </c>
      <c r="AH442" s="180">
        <f t="shared" si="106"/>
        <v>15.600000000000001</v>
      </c>
      <c r="AI442" s="189">
        <v>193</v>
      </c>
      <c r="AJ442" s="125">
        <v>3304.8339999999998</v>
      </c>
      <c r="AK442" s="149">
        <v>322</v>
      </c>
      <c r="AL442" s="221">
        <v>36</v>
      </c>
      <c r="AM442" s="216">
        <v>50.819672131147541</v>
      </c>
      <c r="AN442" s="213">
        <v>1.4084507042253522</v>
      </c>
      <c r="AO442" s="127">
        <v>3.5430000000000001</v>
      </c>
      <c r="AP442" s="133">
        <v>3.0000000000000001E-3</v>
      </c>
      <c r="AQ442" s="224">
        <f t="shared" si="102"/>
        <v>1.048913043478261</v>
      </c>
      <c r="AR442" s="158">
        <v>184</v>
      </c>
      <c r="AS442" s="229">
        <f t="shared" si="103"/>
        <v>9.1209829867674855E-2</v>
      </c>
      <c r="AT442" s="230">
        <v>2116</v>
      </c>
      <c r="AU442" s="203">
        <v>18.134715025906736</v>
      </c>
      <c r="AV442" s="204">
        <v>67.357512953367888</v>
      </c>
      <c r="AW442" s="205">
        <v>14.507772020725387</v>
      </c>
      <c r="AX442" s="123">
        <v>2.9851000000000001</v>
      </c>
      <c r="AY442" s="281">
        <v>9.7222222222222232</v>
      </c>
      <c r="AZ442" s="282">
        <v>31.944444444444443</v>
      </c>
      <c r="BA442" s="283">
        <f t="shared" si="104"/>
        <v>58.333333333333329</v>
      </c>
      <c r="BB442" s="234">
        <v>78.260869565217391</v>
      </c>
      <c r="BC442" s="19">
        <v>2009</v>
      </c>
      <c r="BD442" s="264" t="s">
        <v>557</v>
      </c>
      <c r="BE442" s="262" t="s">
        <v>557</v>
      </c>
      <c r="BF442" s="260" t="s">
        <v>557</v>
      </c>
      <c r="BG442" s="256">
        <v>0</v>
      </c>
      <c r="BH442" s="254" t="s">
        <v>557</v>
      </c>
      <c r="BI442" s="249">
        <v>0</v>
      </c>
      <c r="BJ442" s="309" t="s">
        <v>557</v>
      </c>
      <c r="BK442" s="307" t="s">
        <v>557</v>
      </c>
      <c r="BL442" s="319" t="s">
        <v>1728</v>
      </c>
      <c r="BM442" s="320" t="s">
        <v>557</v>
      </c>
      <c r="BN442" s="321" t="s">
        <v>1838</v>
      </c>
      <c r="BO442" s="21" t="s">
        <v>557</v>
      </c>
      <c r="BP442" s="10">
        <v>2</v>
      </c>
      <c r="BQ442" s="10" t="s">
        <v>557</v>
      </c>
    </row>
    <row r="443" spans="1:94" s="56" customFormat="1" ht="13.95" customHeight="1" x14ac:dyDescent="0.3">
      <c r="A443" s="56" t="s">
        <v>459</v>
      </c>
      <c r="B443" s="57" t="s">
        <v>462</v>
      </c>
      <c r="C443" s="55" t="s">
        <v>217</v>
      </c>
      <c r="D443" s="58">
        <v>2</v>
      </c>
      <c r="E443" s="59" t="s">
        <v>633</v>
      </c>
      <c r="F443" s="60" t="s">
        <v>453</v>
      </c>
      <c r="G443" s="61" t="s">
        <v>113</v>
      </c>
      <c r="H443" s="61" t="s">
        <v>114</v>
      </c>
      <c r="I443" s="62" t="s">
        <v>115</v>
      </c>
      <c r="J443" s="63" t="s">
        <v>2461</v>
      </c>
      <c r="K443" s="101" t="s">
        <v>2460</v>
      </c>
      <c r="L443" s="130"/>
      <c r="M443" s="109" t="s">
        <v>537</v>
      </c>
      <c r="N443" s="12" t="s">
        <v>1210</v>
      </c>
      <c r="O443" s="100"/>
      <c r="P443" s="131">
        <v>725739939</v>
      </c>
      <c r="Q443" s="67"/>
      <c r="R443" s="68"/>
      <c r="S443" s="99"/>
      <c r="T443" s="65"/>
      <c r="U443" s="170">
        <v>0</v>
      </c>
      <c r="V443" s="48">
        <f t="shared" si="92"/>
        <v>0</v>
      </c>
      <c r="W443" s="171">
        <f t="shared" si="93"/>
        <v>0</v>
      </c>
      <c r="X443" s="69">
        <v>0</v>
      </c>
      <c r="Y443" s="48">
        <f t="shared" si="94"/>
        <v>0</v>
      </c>
      <c r="Z443" s="137">
        <f t="shared" si="95"/>
        <v>0</v>
      </c>
      <c r="AA443" s="69">
        <v>0</v>
      </c>
      <c r="AB443" s="48">
        <f t="shared" si="96"/>
        <v>0</v>
      </c>
      <c r="AC443" s="137">
        <f t="shared" si="97"/>
        <v>0</v>
      </c>
      <c r="AD443" s="70">
        <f t="shared" si="98"/>
        <v>0</v>
      </c>
      <c r="AE443" s="71">
        <f t="shared" si="99"/>
        <v>0</v>
      </c>
      <c r="AF443" s="193">
        <f t="shared" si="100"/>
        <v>0</v>
      </c>
      <c r="AG443" s="185">
        <f t="shared" si="101"/>
        <v>0</v>
      </c>
      <c r="AH443" s="180">
        <f t="shared" si="106"/>
        <v>0</v>
      </c>
      <c r="AI443" s="189">
        <v>159</v>
      </c>
      <c r="AJ443" s="125">
        <v>665.63409999999999</v>
      </c>
      <c r="AK443" s="149">
        <v>119</v>
      </c>
      <c r="AL443" s="221">
        <v>45</v>
      </c>
      <c r="AM443" s="216">
        <v>85.454545454545453</v>
      </c>
      <c r="AN443" s="213">
        <v>35.238095238095241</v>
      </c>
      <c r="AO443" s="127">
        <v>2.2280000000000002</v>
      </c>
      <c r="AP443" s="133">
        <v>0.53100000000000003</v>
      </c>
      <c r="AQ443" s="224">
        <f t="shared" si="102"/>
        <v>0.92982456140350878</v>
      </c>
      <c r="AR443" s="158">
        <v>171</v>
      </c>
      <c r="AS443" s="229">
        <f t="shared" si="103"/>
        <v>0.3878048780487805</v>
      </c>
      <c r="AT443" s="230">
        <v>410</v>
      </c>
      <c r="AU443" s="203">
        <v>15.723270440251572</v>
      </c>
      <c r="AV443" s="204">
        <v>71.698113207547181</v>
      </c>
      <c r="AW443" s="205">
        <v>12.578616352201259</v>
      </c>
      <c r="AX443" s="123">
        <v>4.5454999999999997</v>
      </c>
      <c r="AY443" s="281">
        <v>14.492753623188406</v>
      </c>
      <c r="AZ443" s="282">
        <v>50.724637681159422</v>
      </c>
      <c r="BA443" s="283">
        <f t="shared" si="104"/>
        <v>34.782608695652172</v>
      </c>
      <c r="BB443" s="234">
        <v>84.21052631578948</v>
      </c>
      <c r="BC443" s="20" t="s">
        <v>557</v>
      </c>
      <c r="BD443" s="263" t="s">
        <v>556</v>
      </c>
      <c r="BE443" s="261" t="s">
        <v>556</v>
      </c>
      <c r="BF443" s="260" t="s">
        <v>557</v>
      </c>
      <c r="BG443" s="256">
        <v>0.70422535211267612</v>
      </c>
      <c r="BH443" s="254" t="s">
        <v>557</v>
      </c>
      <c r="BI443" s="249">
        <v>0</v>
      </c>
      <c r="BJ443" s="309" t="s">
        <v>557</v>
      </c>
      <c r="BK443" s="307" t="s">
        <v>557</v>
      </c>
      <c r="BL443" s="319" t="s">
        <v>1728</v>
      </c>
      <c r="BM443" s="320" t="s">
        <v>556</v>
      </c>
      <c r="BN443" s="321" t="s">
        <v>1838</v>
      </c>
      <c r="BO443" s="145" t="s">
        <v>557</v>
      </c>
      <c r="BP443" s="14">
        <v>2</v>
      </c>
      <c r="BQ443" s="14" t="s">
        <v>557</v>
      </c>
      <c r="BR443" s="72"/>
    </row>
    <row r="444" spans="1:94" s="72" customFormat="1" ht="13.95" customHeight="1" x14ac:dyDescent="0.3">
      <c r="A444" s="3" t="s">
        <v>459</v>
      </c>
      <c r="B444" s="57" t="s">
        <v>462</v>
      </c>
      <c r="C444" s="55" t="s">
        <v>450</v>
      </c>
      <c r="D444" s="58">
        <v>1</v>
      </c>
      <c r="E444" s="59"/>
      <c r="F444" s="60" t="s">
        <v>456</v>
      </c>
      <c r="G444" s="61" t="s">
        <v>378</v>
      </c>
      <c r="H444" s="61" t="s">
        <v>378</v>
      </c>
      <c r="I444" s="62" t="s">
        <v>378</v>
      </c>
      <c r="J444" s="117" t="s">
        <v>2463</v>
      </c>
      <c r="K444" s="143" t="s">
        <v>2462</v>
      </c>
      <c r="L444" s="131">
        <v>499841842</v>
      </c>
      <c r="M444" s="109" t="s">
        <v>537</v>
      </c>
      <c r="N444" s="12" t="s">
        <v>1669</v>
      </c>
      <c r="O444" s="100"/>
      <c r="P444" s="131">
        <v>774714404</v>
      </c>
      <c r="Q444" s="84"/>
      <c r="R444" s="3"/>
      <c r="S444" s="2"/>
      <c r="T444" s="16"/>
      <c r="U444" s="170">
        <v>54700</v>
      </c>
      <c r="V444" s="48">
        <f t="shared" si="92"/>
        <v>280.5128205128205</v>
      </c>
      <c r="W444" s="171">
        <f t="shared" si="93"/>
        <v>58.034887773576934</v>
      </c>
      <c r="X444" s="69">
        <v>0</v>
      </c>
      <c r="Y444" s="48">
        <f t="shared" si="94"/>
        <v>0</v>
      </c>
      <c r="Z444" s="137">
        <f t="shared" si="95"/>
        <v>0</v>
      </c>
      <c r="AA444" s="69">
        <v>0</v>
      </c>
      <c r="AB444" s="48">
        <f t="shared" si="96"/>
        <v>0</v>
      </c>
      <c r="AC444" s="137">
        <f t="shared" si="97"/>
        <v>0</v>
      </c>
      <c r="AD444" s="70">
        <f t="shared" si="98"/>
        <v>54700</v>
      </c>
      <c r="AE444" s="71">
        <f t="shared" si="99"/>
        <v>280.5128205128205</v>
      </c>
      <c r="AF444" s="193">
        <f t="shared" si="100"/>
        <v>58.034887773576934</v>
      </c>
      <c r="AG444" s="185">
        <f t="shared" si="101"/>
        <v>4.0205806688717385E-3</v>
      </c>
      <c r="AH444" s="180">
        <f t="shared" si="106"/>
        <v>2.9173333333333332E-2</v>
      </c>
      <c r="AI444" s="189">
        <v>195</v>
      </c>
      <c r="AJ444" s="125">
        <v>942.53650000000005</v>
      </c>
      <c r="AK444" s="149">
        <v>82</v>
      </c>
      <c r="AL444" s="221">
        <v>59</v>
      </c>
      <c r="AM444" s="216">
        <v>84.722222222222214</v>
      </c>
      <c r="AN444" s="213">
        <v>8.1395348837209305</v>
      </c>
      <c r="AO444" s="127">
        <v>2.7210000000000001</v>
      </c>
      <c r="AP444" s="133">
        <v>0.375</v>
      </c>
      <c r="AQ444" s="224">
        <f t="shared" si="102"/>
        <v>1.1206896551724137</v>
      </c>
      <c r="AR444" s="158">
        <v>174</v>
      </c>
      <c r="AS444" s="229">
        <f t="shared" si="103"/>
        <v>0.32718120805369127</v>
      </c>
      <c r="AT444" s="230">
        <v>596</v>
      </c>
      <c r="AU444" s="203">
        <v>15.384615384615385</v>
      </c>
      <c r="AV444" s="204">
        <v>73.333333333333329</v>
      </c>
      <c r="AW444" s="205">
        <v>11.282051282051283</v>
      </c>
      <c r="AX444" s="123">
        <v>4.3478000000000003</v>
      </c>
      <c r="AY444" s="281">
        <v>4.7619047619047619</v>
      </c>
      <c r="AZ444" s="282">
        <v>35.714285714285715</v>
      </c>
      <c r="BA444" s="283">
        <f t="shared" si="104"/>
        <v>59.523809523809526</v>
      </c>
      <c r="BB444" s="234">
        <v>96.296296296296291</v>
      </c>
      <c r="BC444" s="19">
        <v>2012</v>
      </c>
      <c r="BD444" s="263" t="s">
        <v>556</v>
      </c>
      <c r="BE444" s="262" t="s">
        <v>557</v>
      </c>
      <c r="BF444" s="260" t="s">
        <v>557</v>
      </c>
      <c r="BG444" s="256">
        <v>0</v>
      </c>
      <c r="BH444" s="254" t="s">
        <v>557</v>
      </c>
      <c r="BI444" s="249">
        <v>0</v>
      </c>
      <c r="BJ444" s="309" t="s">
        <v>557</v>
      </c>
      <c r="BK444" s="307" t="s">
        <v>557</v>
      </c>
      <c r="BL444" s="319" t="s">
        <v>1728</v>
      </c>
      <c r="BM444" s="320" t="s">
        <v>556</v>
      </c>
      <c r="BN444" s="321" t="s">
        <v>557</v>
      </c>
      <c r="BO444" s="21" t="s">
        <v>557</v>
      </c>
      <c r="BP444" s="10" t="s">
        <v>556</v>
      </c>
      <c r="BQ444" s="10" t="s">
        <v>557</v>
      </c>
      <c r="BR444" s="3"/>
      <c r="BS444" s="80"/>
      <c r="BT444" s="80"/>
      <c r="BU444" s="80"/>
      <c r="BV444" s="80"/>
      <c r="BW444" s="80"/>
      <c r="BX444" s="80"/>
      <c r="BY444" s="80"/>
      <c r="BZ444" s="80"/>
      <c r="CA444" s="80"/>
      <c r="CB444" s="80"/>
      <c r="CC444" s="80"/>
      <c r="CD444" s="80"/>
      <c r="CE444" s="80"/>
      <c r="CF444" s="80"/>
      <c r="CG444" s="80"/>
      <c r="CH444" s="80"/>
      <c r="CI444" s="80"/>
      <c r="CJ444" s="80"/>
      <c r="CK444" s="80"/>
      <c r="CL444" s="80"/>
      <c r="CM444" s="80"/>
      <c r="CN444" s="80"/>
      <c r="CO444" s="80"/>
      <c r="CP444" s="80"/>
    </row>
    <row r="445" spans="1:94" s="72" customFormat="1" ht="13.95" customHeight="1" x14ac:dyDescent="0.3">
      <c r="A445" s="3" t="s">
        <v>461</v>
      </c>
      <c r="B445" s="77" t="s">
        <v>464</v>
      </c>
      <c r="C445" s="74" t="s">
        <v>382</v>
      </c>
      <c r="D445" s="58">
        <v>3</v>
      </c>
      <c r="E445" s="59" t="s">
        <v>1007</v>
      </c>
      <c r="F445" s="60" t="s">
        <v>456</v>
      </c>
      <c r="G445" s="75" t="s">
        <v>378</v>
      </c>
      <c r="H445" s="75" t="s">
        <v>382</v>
      </c>
      <c r="I445" s="76" t="s">
        <v>382</v>
      </c>
      <c r="J445" s="117" t="s">
        <v>2465</v>
      </c>
      <c r="K445" s="100" t="s">
        <v>2464</v>
      </c>
      <c r="L445" s="131">
        <v>499739211</v>
      </c>
      <c r="M445" s="109" t="s">
        <v>564</v>
      </c>
      <c r="N445" s="12" t="s">
        <v>1670</v>
      </c>
      <c r="O445" s="100" t="s">
        <v>1671</v>
      </c>
      <c r="P445" s="131">
        <v>499739221</v>
      </c>
      <c r="Q445" s="84"/>
      <c r="R445" s="3"/>
      <c r="S445" s="2"/>
      <c r="T445" s="16"/>
      <c r="U445" s="172">
        <v>0</v>
      </c>
      <c r="V445" s="135">
        <f t="shared" si="92"/>
        <v>0</v>
      </c>
      <c r="W445" s="173">
        <f t="shared" si="93"/>
        <v>0</v>
      </c>
      <c r="X445" s="69">
        <v>1066000</v>
      </c>
      <c r="Y445" s="48">
        <f t="shared" si="94"/>
        <v>327.59680393362015</v>
      </c>
      <c r="Z445" s="137">
        <f t="shared" si="95"/>
        <v>488.50657673746343</v>
      </c>
      <c r="AA445" s="69">
        <v>2000000</v>
      </c>
      <c r="AB445" s="48">
        <f t="shared" si="96"/>
        <v>614.62814996926863</v>
      </c>
      <c r="AC445" s="137">
        <f t="shared" si="97"/>
        <v>916.52265804402145</v>
      </c>
      <c r="AD445" s="70">
        <f t="shared" si="98"/>
        <v>3066000</v>
      </c>
      <c r="AE445" s="71">
        <f t="shared" si="99"/>
        <v>942.22495390288873</v>
      </c>
      <c r="AF445" s="193">
        <f t="shared" si="100"/>
        <v>1405.029234781485</v>
      </c>
      <c r="AG445" s="185">
        <f t="shared" si="101"/>
        <v>1.0807000229111225E-2</v>
      </c>
      <c r="AH445" s="180">
        <f t="shared" si="106"/>
        <v>3.8124844566028347E-2</v>
      </c>
      <c r="AI445" s="189">
        <v>3254</v>
      </c>
      <c r="AJ445" s="126">
        <v>2182.1610000000001</v>
      </c>
      <c r="AK445" s="150">
        <v>740</v>
      </c>
      <c r="AL445" s="221">
        <v>448</v>
      </c>
      <c r="AM445" s="216">
        <v>22.971114167812932</v>
      </c>
      <c r="AN445" s="213">
        <v>3.3977738722905682</v>
      </c>
      <c r="AO445" s="128">
        <v>56.741</v>
      </c>
      <c r="AP445" s="134">
        <v>16.084</v>
      </c>
      <c r="AQ445" s="224">
        <f t="shared" si="102"/>
        <v>0.87945945945945947</v>
      </c>
      <c r="AR445" s="158">
        <v>3700</v>
      </c>
      <c r="AS445" s="229">
        <f t="shared" si="103"/>
        <v>0.61816109422492405</v>
      </c>
      <c r="AT445" s="230">
        <v>5264</v>
      </c>
      <c r="AU445" s="203">
        <v>13.398893669330056</v>
      </c>
      <c r="AV445" s="204">
        <v>64.720344191763985</v>
      </c>
      <c r="AW445" s="205">
        <v>21.880762138905961</v>
      </c>
      <c r="AX445" s="123">
        <v>6.0195999999999996</v>
      </c>
      <c r="AY445" s="281">
        <v>1.001669449081803</v>
      </c>
      <c r="AZ445" s="282">
        <v>41.485809682804678</v>
      </c>
      <c r="BA445" s="283">
        <f t="shared" si="104"/>
        <v>57.512520868113519</v>
      </c>
      <c r="BB445" s="234">
        <v>80.645161290322577</v>
      </c>
      <c r="BC445" s="19">
        <v>2004</v>
      </c>
      <c r="BD445" s="263" t="s">
        <v>556</v>
      </c>
      <c r="BE445" s="261" t="s">
        <v>556</v>
      </c>
      <c r="BF445" s="259" t="s">
        <v>556</v>
      </c>
      <c r="BG445" s="256">
        <v>84.559974945192607</v>
      </c>
      <c r="BH445" s="248" t="s">
        <v>556</v>
      </c>
      <c r="BI445" s="249">
        <v>69.411764705882348</v>
      </c>
      <c r="BJ445" s="311" t="s">
        <v>1718</v>
      </c>
      <c r="BK445" s="307" t="s">
        <v>556</v>
      </c>
      <c r="BL445" s="319" t="s">
        <v>1728</v>
      </c>
      <c r="BM445" s="320" t="s">
        <v>556</v>
      </c>
      <c r="BN445" s="321" t="s">
        <v>2466</v>
      </c>
      <c r="BO445" s="21" t="s">
        <v>556</v>
      </c>
      <c r="BP445" s="10">
        <v>2</v>
      </c>
      <c r="BQ445" s="10" t="s">
        <v>556</v>
      </c>
      <c r="BR445" s="3"/>
      <c r="BS445" s="80"/>
      <c r="BT445" s="80"/>
      <c r="BU445" s="80"/>
      <c r="BV445" s="80"/>
      <c r="BW445" s="80"/>
      <c r="BX445" s="80"/>
      <c r="BY445" s="80"/>
      <c r="BZ445" s="80"/>
      <c r="CA445" s="80"/>
      <c r="CB445" s="80"/>
      <c r="CC445" s="80"/>
      <c r="CD445" s="80"/>
      <c r="CE445" s="80"/>
      <c r="CF445" s="80"/>
      <c r="CG445" s="80"/>
      <c r="CH445" s="80"/>
      <c r="CI445" s="80"/>
      <c r="CJ445" s="80"/>
      <c r="CK445" s="80"/>
      <c r="CL445" s="80"/>
      <c r="CM445" s="80"/>
      <c r="CN445" s="80"/>
      <c r="CO445" s="80"/>
      <c r="CP445" s="80"/>
    </row>
    <row r="446" spans="1:94" s="72" customFormat="1" ht="13.95" customHeight="1" x14ac:dyDescent="0.3">
      <c r="A446" s="56" t="s">
        <v>459</v>
      </c>
      <c r="B446" s="57" t="s">
        <v>462</v>
      </c>
      <c r="C446" s="55" t="s">
        <v>297</v>
      </c>
      <c r="D446" s="58">
        <v>1</v>
      </c>
      <c r="E446" s="59"/>
      <c r="F446" s="60" t="s">
        <v>454</v>
      </c>
      <c r="G446" s="61" t="s">
        <v>226</v>
      </c>
      <c r="H446" s="61" t="s">
        <v>1227</v>
      </c>
      <c r="I446" s="62" t="s">
        <v>1227</v>
      </c>
      <c r="J446" s="63" t="s">
        <v>787</v>
      </c>
      <c r="K446" s="99" t="s">
        <v>788</v>
      </c>
      <c r="L446" s="130">
        <v>491541142</v>
      </c>
      <c r="M446" s="109" t="s">
        <v>564</v>
      </c>
      <c r="N446" s="12" t="s">
        <v>790</v>
      </c>
      <c r="O446" s="100" t="s">
        <v>789</v>
      </c>
      <c r="P446" s="131"/>
      <c r="Q446" s="67"/>
      <c r="R446" s="68" t="s">
        <v>791</v>
      </c>
      <c r="S446" s="99" t="s">
        <v>788</v>
      </c>
      <c r="T446" s="131">
        <v>603102802</v>
      </c>
      <c r="U446" s="170">
        <f>132000+150000+207000</f>
        <v>489000</v>
      </c>
      <c r="V446" s="48">
        <f t="shared" si="92"/>
        <v>739.78819969742813</v>
      </c>
      <c r="W446" s="171">
        <f t="shared" si="93"/>
        <v>599.11815688221361</v>
      </c>
      <c r="X446" s="69">
        <v>253000</v>
      </c>
      <c r="Y446" s="48">
        <f t="shared" si="94"/>
        <v>382.75340393343419</v>
      </c>
      <c r="Z446" s="137">
        <f t="shared" si="95"/>
        <v>309.97319773251542</v>
      </c>
      <c r="AA446" s="69">
        <v>450000</v>
      </c>
      <c r="AB446" s="48">
        <f t="shared" si="96"/>
        <v>680.78668683812407</v>
      </c>
      <c r="AC446" s="137">
        <f t="shared" si="97"/>
        <v>551.33572719222104</v>
      </c>
      <c r="AD446" s="70">
        <f t="shared" si="98"/>
        <v>1192000</v>
      </c>
      <c r="AE446" s="71">
        <f t="shared" si="99"/>
        <v>1803.3282904689863</v>
      </c>
      <c r="AF446" s="193">
        <f t="shared" si="100"/>
        <v>1460.4270818069501</v>
      </c>
      <c r="AG446" s="185">
        <f t="shared" si="101"/>
        <v>2.4463827603899438E-2</v>
      </c>
      <c r="AH446" s="180">
        <f t="shared" si="106"/>
        <v>7.0303745207903279E-2</v>
      </c>
      <c r="AI446" s="189">
        <v>661</v>
      </c>
      <c r="AJ446" s="125">
        <v>816.19960000000003</v>
      </c>
      <c r="AK446" s="149">
        <v>242</v>
      </c>
      <c r="AL446" s="221">
        <v>172</v>
      </c>
      <c r="AM446" s="216">
        <v>66.932270916334659</v>
      </c>
      <c r="AN446" s="213">
        <v>11.881188118811881</v>
      </c>
      <c r="AO446" s="127">
        <v>9.7449999999999992</v>
      </c>
      <c r="AP446" s="133">
        <v>3.391</v>
      </c>
      <c r="AQ446" s="224">
        <f t="shared" si="102"/>
        <v>1.4559471365638768</v>
      </c>
      <c r="AR446" s="158">
        <v>454</v>
      </c>
      <c r="AS446" s="229">
        <f t="shared" si="103"/>
        <v>1.0475435816164818</v>
      </c>
      <c r="AT446" s="230">
        <v>631</v>
      </c>
      <c r="AU446" s="203">
        <v>19.062027231467475</v>
      </c>
      <c r="AV446" s="204">
        <v>66.868381240544622</v>
      </c>
      <c r="AW446" s="205">
        <v>14.069591527987896</v>
      </c>
      <c r="AX446" s="123">
        <v>3.2258</v>
      </c>
      <c r="AY446" s="281">
        <v>6.2937062937062942</v>
      </c>
      <c r="AZ446" s="282">
        <v>40.209790209790206</v>
      </c>
      <c r="BA446" s="283">
        <f t="shared" si="104"/>
        <v>53.4965034965035</v>
      </c>
      <c r="BB446" s="234">
        <v>78.28947368421052</v>
      </c>
      <c r="BC446" s="20">
        <v>2008</v>
      </c>
      <c r="BD446" s="263" t="s">
        <v>556</v>
      </c>
      <c r="BE446" s="261" t="s">
        <v>556</v>
      </c>
      <c r="BF446" s="259" t="s">
        <v>556</v>
      </c>
      <c r="BG446" s="256">
        <v>28.843106180665611</v>
      </c>
      <c r="BH446" s="248" t="s">
        <v>556</v>
      </c>
      <c r="BI446" s="249">
        <v>61.943986820428329</v>
      </c>
      <c r="BJ446" s="308" t="s">
        <v>556</v>
      </c>
      <c r="BK446" s="307" t="s">
        <v>750</v>
      </c>
      <c r="BL446" s="319" t="s">
        <v>1728</v>
      </c>
      <c r="BM446" s="320" t="s">
        <v>556</v>
      </c>
      <c r="BN446" s="321" t="s">
        <v>1838</v>
      </c>
      <c r="BO446" s="145" t="s">
        <v>556</v>
      </c>
      <c r="BP446" s="14" t="s">
        <v>557</v>
      </c>
      <c r="BQ446" s="14" t="s">
        <v>556</v>
      </c>
      <c r="BR446" s="56"/>
    </row>
    <row r="447" spans="1:94" s="56" customFormat="1" ht="13.95" customHeight="1" x14ac:dyDescent="0.3">
      <c r="A447" s="56" t="s">
        <v>459</v>
      </c>
      <c r="B447" s="57" t="s">
        <v>462</v>
      </c>
      <c r="C447" s="55" t="s">
        <v>376</v>
      </c>
      <c r="D447" s="58">
        <v>3</v>
      </c>
      <c r="E447" s="341" t="s">
        <v>718</v>
      </c>
      <c r="F447" s="60" t="s">
        <v>455</v>
      </c>
      <c r="G447" s="61" t="s">
        <v>529</v>
      </c>
      <c r="H447" s="61" t="s">
        <v>530</v>
      </c>
      <c r="I447" s="62" t="s">
        <v>530</v>
      </c>
      <c r="J447" s="63" t="s">
        <v>2467</v>
      </c>
      <c r="K447" s="99" t="s">
        <v>1535</v>
      </c>
      <c r="L447" s="130">
        <v>494371516</v>
      </c>
      <c r="M447" s="109" t="s">
        <v>537</v>
      </c>
      <c r="N447" s="12" t="s">
        <v>1534</v>
      </c>
      <c r="O447" s="100"/>
      <c r="P447" s="131">
        <v>724188976</v>
      </c>
      <c r="Q447" s="82"/>
      <c r="R447" s="72"/>
      <c r="S447" s="115"/>
      <c r="T447" s="112"/>
      <c r="U447" s="170">
        <f>146301+81332</f>
        <v>227633</v>
      </c>
      <c r="V447" s="48">
        <f t="shared" si="92"/>
        <v>474.23541666666665</v>
      </c>
      <c r="W447" s="171">
        <f t="shared" si="93"/>
        <v>243.31259917880007</v>
      </c>
      <c r="X447" s="69">
        <v>2400</v>
      </c>
      <c r="Y447" s="48">
        <f t="shared" si="94"/>
        <v>5</v>
      </c>
      <c r="Z447" s="137">
        <f t="shared" si="95"/>
        <v>2.565314510765663</v>
      </c>
      <c r="AA447" s="69">
        <v>0</v>
      </c>
      <c r="AB447" s="48">
        <f t="shared" si="96"/>
        <v>0</v>
      </c>
      <c r="AC447" s="137">
        <f t="shared" si="97"/>
        <v>0</v>
      </c>
      <c r="AD447" s="70">
        <f t="shared" si="98"/>
        <v>230033</v>
      </c>
      <c r="AE447" s="71">
        <f t="shared" si="99"/>
        <v>479.23541666666665</v>
      </c>
      <c r="AF447" s="193">
        <f t="shared" si="100"/>
        <v>245.87791368956573</v>
      </c>
      <c r="AG447" s="185">
        <f t="shared" si="101"/>
        <v>1.0364181121874297E-2</v>
      </c>
      <c r="AH447" s="180">
        <f t="shared" si="106"/>
        <v>7.4204193548387101E-2</v>
      </c>
      <c r="AI447" s="189">
        <v>480</v>
      </c>
      <c r="AJ447" s="125">
        <v>935.55780000000004</v>
      </c>
      <c r="AK447" s="149">
        <v>297</v>
      </c>
      <c r="AL447" s="221">
        <v>151</v>
      </c>
      <c r="AM447" s="216">
        <v>96.913580246913583</v>
      </c>
      <c r="AN447" s="213">
        <v>8.4821428571428559</v>
      </c>
      <c r="AO447" s="127">
        <v>4.4390000000000001</v>
      </c>
      <c r="AP447" s="133">
        <v>0.62</v>
      </c>
      <c r="AQ447" s="224">
        <f t="shared" si="102"/>
        <v>1.1241217798594847</v>
      </c>
      <c r="AR447" s="158">
        <v>427</v>
      </c>
      <c r="AS447" s="229">
        <f t="shared" si="103"/>
        <v>0.56804733727810652</v>
      </c>
      <c r="AT447" s="230">
        <v>845</v>
      </c>
      <c r="AU447" s="203">
        <v>18.333333333333332</v>
      </c>
      <c r="AV447" s="204">
        <v>70</v>
      </c>
      <c r="AW447" s="205">
        <v>11.666666666666666</v>
      </c>
      <c r="AX447" s="123">
        <v>3.0488</v>
      </c>
      <c r="AY447" s="281">
        <v>1.0526315789473684</v>
      </c>
      <c r="AZ447" s="282">
        <v>43.15789473684211</v>
      </c>
      <c r="BA447" s="283">
        <f t="shared" si="104"/>
        <v>55.78947368421052</v>
      </c>
      <c r="BB447" s="234">
        <v>84.523809523809533</v>
      </c>
      <c r="BC447" s="20">
        <v>2009</v>
      </c>
      <c r="BD447" s="263" t="s">
        <v>556</v>
      </c>
      <c r="BE447" s="261" t="s">
        <v>556</v>
      </c>
      <c r="BF447" s="259" t="s">
        <v>556</v>
      </c>
      <c r="BG447" s="256">
        <v>77.541371158392437</v>
      </c>
      <c r="BH447" s="248" t="s">
        <v>556</v>
      </c>
      <c r="BI447" s="249">
        <v>25.672371638141811</v>
      </c>
      <c r="BJ447" s="308" t="s">
        <v>556</v>
      </c>
      <c r="BK447" s="307" t="s">
        <v>750</v>
      </c>
      <c r="BL447" s="319" t="s">
        <v>1728</v>
      </c>
      <c r="BM447" s="320" t="s">
        <v>556</v>
      </c>
      <c r="BN447" s="321" t="s">
        <v>1803</v>
      </c>
      <c r="BO447" s="145" t="s">
        <v>556</v>
      </c>
      <c r="BP447" s="14" t="s">
        <v>557</v>
      </c>
      <c r="BQ447" s="14" t="s">
        <v>556</v>
      </c>
    </row>
    <row r="448" spans="1:94" s="72" customFormat="1" ht="13.95" customHeight="1" x14ac:dyDescent="0.3">
      <c r="A448" s="56" t="s">
        <v>459</v>
      </c>
      <c r="B448" s="57" t="s">
        <v>462</v>
      </c>
      <c r="C448" s="55" t="s">
        <v>298</v>
      </c>
      <c r="D448" s="58">
        <v>1</v>
      </c>
      <c r="E448" s="59"/>
      <c r="F448" s="60" t="s">
        <v>454</v>
      </c>
      <c r="G448" s="61" t="s">
        <v>226</v>
      </c>
      <c r="H448" s="61" t="s">
        <v>249</v>
      </c>
      <c r="I448" s="62" t="s">
        <v>249</v>
      </c>
      <c r="J448" s="63" t="s">
        <v>2468</v>
      </c>
      <c r="K448" s="99" t="s">
        <v>1392</v>
      </c>
      <c r="L448" s="130">
        <v>491483272</v>
      </c>
      <c r="M448" s="109" t="s">
        <v>564</v>
      </c>
      <c r="N448" s="12" t="s">
        <v>1391</v>
      </c>
      <c r="O448" s="100"/>
      <c r="P448" s="131">
        <v>724179774</v>
      </c>
      <c r="Q448" s="67"/>
      <c r="R448" s="68"/>
      <c r="S448" s="99"/>
      <c r="T448" s="65"/>
      <c r="U448" s="170">
        <f>79000+69590+429174</f>
        <v>577764</v>
      </c>
      <c r="V448" s="48">
        <f t="shared" si="92"/>
        <v>1058.1758241758241</v>
      </c>
      <c r="W448" s="171">
        <f t="shared" si="93"/>
        <v>1256.6323677599121</v>
      </c>
      <c r="X448" s="69">
        <v>100000</v>
      </c>
      <c r="Y448" s="48">
        <f t="shared" si="94"/>
        <v>183.15018315018315</v>
      </c>
      <c r="Z448" s="137">
        <f t="shared" si="95"/>
        <v>217.49925017133504</v>
      </c>
      <c r="AA448" s="69">
        <v>0</v>
      </c>
      <c r="AB448" s="48">
        <f t="shared" si="96"/>
        <v>0</v>
      </c>
      <c r="AC448" s="137">
        <f t="shared" si="97"/>
        <v>0</v>
      </c>
      <c r="AD448" s="70">
        <f t="shared" si="98"/>
        <v>677764</v>
      </c>
      <c r="AE448" s="71">
        <f t="shared" si="99"/>
        <v>1241.3260073260074</v>
      </c>
      <c r="AF448" s="193">
        <f t="shared" si="100"/>
        <v>1474.1316179312471</v>
      </c>
      <c r="AG448" s="185">
        <f t="shared" si="101"/>
        <v>2.9038731790916882E-2</v>
      </c>
      <c r="AH448" s="180">
        <f t="shared" si="106"/>
        <v>0.10475486862442041</v>
      </c>
      <c r="AI448" s="189">
        <v>546</v>
      </c>
      <c r="AJ448" s="125">
        <v>459.77170000000001</v>
      </c>
      <c r="AK448" s="149">
        <v>262</v>
      </c>
      <c r="AL448" s="221">
        <v>181</v>
      </c>
      <c r="AM448" s="216">
        <v>94.634146341463406</v>
      </c>
      <c r="AN448" s="213">
        <v>18.978102189781019</v>
      </c>
      <c r="AO448" s="127">
        <v>4.6680000000000001</v>
      </c>
      <c r="AP448" s="133">
        <v>1.294</v>
      </c>
      <c r="AQ448" s="224">
        <f t="shared" si="102"/>
        <v>1.0092421441774491</v>
      </c>
      <c r="AR448" s="158">
        <v>541</v>
      </c>
      <c r="AS448" s="229">
        <f t="shared" si="103"/>
        <v>0.70451612903225802</v>
      </c>
      <c r="AT448" s="230">
        <v>775</v>
      </c>
      <c r="AU448" s="203">
        <v>13.91941391941392</v>
      </c>
      <c r="AV448" s="204">
        <v>68.681318681318672</v>
      </c>
      <c r="AW448" s="205">
        <v>17.399267399267398</v>
      </c>
      <c r="AX448" s="123">
        <v>2.4064000000000001</v>
      </c>
      <c r="AY448" s="281">
        <v>2.2222222222222223</v>
      </c>
      <c r="AZ448" s="282">
        <v>41.481481481481481</v>
      </c>
      <c r="BA448" s="283">
        <f t="shared" si="104"/>
        <v>56.296296296296291</v>
      </c>
      <c r="BB448" s="234">
        <v>85.344827586206904</v>
      </c>
      <c r="BC448" s="20">
        <v>2016</v>
      </c>
      <c r="BD448" s="263" t="s">
        <v>556</v>
      </c>
      <c r="BE448" s="261" t="s">
        <v>556</v>
      </c>
      <c r="BF448" s="259" t="s">
        <v>556</v>
      </c>
      <c r="BG448" s="256">
        <v>32.481751824817515</v>
      </c>
      <c r="BH448" s="248" t="s">
        <v>556</v>
      </c>
      <c r="BI448" s="249">
        <v>39.513108614232209</v>
      </c>
      <c r="BJ448" s="308" t="s">
        <v>556</v>
      </c>
      <c r="BK448" s="307" t="s">
        <v>750</v>
      </c>
      <c r="BL448" s="319" t="s">
        <v>1728</v>
      </c>
      <c r="BM448" s="320" t="s">
        <v>556</v>
      </c>
      <c r="BN448" s="321" t="s">
        <v>1957</v>
      </c>
      <c r="BO448" s="145" t="s">
        <v>556</v>
      </c>
      <c r="BP448" s="14" t="s">
        <v>556</v>
      </c>
      <c r="BQ448" s="14" t="s">
        <v>557</v>
      </c>
      <c r="BR448" s="56"/>
    </row>
    <row r="449" spans="1:70" s="56" customFormat="1" ht="13.95" customHeight="1" x14ac:dyDescent="0.3">
      <c r="A449" s="56" t="s">
        <v>459</v>
      </c>
      <c r="B449" s="77" t="s">
        <v>464</v>
      </c>
      <c r="C449" s="74" t="s">
        <v>218</v>
      </c>
      <c r="D449" s="58">
        <v>6</v>
      </c>
      <c r="E449" s="59" t="s">
        <v>634</v>
      </c>
      <c r="F449" s="60" t="s">
        <v>453</v>
      </c>
      <c r="G449" s="75" t="s">
        <v>113</v>
      </c>
      <c r="H449" s="75" t="s">
        <v>113</v>
      </c>
      <c r="I449" s="76" t="s">
        <v>113</v>
      </c>
      <c r="J449" s="63" t="s">
        <v>2469</v>
      </c>
      <c r="K449" s="99" t="s">
        <v>1212</v>
      </c>
      <c r="L449" s="130">
        <v>493532934</v>
      </c>
      <c r="M449" s="109" t="s">
        <v>537</v>
      </c>
      <c r="N449" s="12" t="s">
        <v>1211</v>
      </c>
      <c r="O449" s="100"/>
      <c r="P449" s="131">
        <v>725087002</v>
      </c>
      <c r="Q449" s="67"/>
      <c r="R449" s="68"/>
      <c r="S449" s="99"/>
      <c r="T449" s="65"/>
      <c r="U449" s="170">
        <f>27870+15810+894520</f>
        <v>938200</v>
      </c>
      <c r="V449" s="48">
        <f t="shared" si="92"/>
        <v>738.15892997639651</v>
      </c>
      <c r="W449" s="171">
        <f t="shared" si="93"/>
        <v>715.37663260583292</v>
      </c>
      <c r="X449" s="69">
        <v>324530</v>
      </c>
      <c r="Y449" s="48">
        <f t="shared" si="94"/>
        <v>255.33438237608183</v>
      </c>
      <c r="Z449" s="137">
        <f t="shared" si="95"/>
        <v>247.45382496223721</v>
      </c>
      <c r="AA449" s="69">
        <v>100000</v>
      </c>
      <c r="AB449" s="48">
        <f t="shared" si="96"/>
        <v>78.678206136900073</v>
      </c>
      <c r="AC449" s="137">
        <f t="shared" si="97"/>
        <v>76.249907546987089</v>
      </c>
      <c r="AD449" s="70">
        <f t="shared" si="98"/>
        <v>1362730</v>
      </c>
      <c r="AE449" s="71">
        <f t="shared" si="99"/>
        <v>1072.1715184893785</v>
      </c>
      <c r="AF449" s="193">
        <f t="shared" si="100"/>
        <v>1039.0803651150572</v>
      </c>
      <c r="AG449" s="185">
        <f t="shared" si="101"/>
        <v>2.1699522292993628E-2</v>
      </c>
      <c r="AH449" s="180">
        <f t="shared" si="106"/>
        <v>0.23949560632688935</v>
      </c>
      <c r="AI449" s="189">
        <v>1271</v>
      </c>
      <c r="AJ449" s="126">
        <v>1311.4770000000001</v>
      </c>
      <c r="AK449" s="150">
        <v>582</v>
      </c>
      <c r="AL449" s="221">
        <v>375</v>
      </c>
      <c r="AM449" s="216">
        <v>90.497737556561091</v>
      </c>
      <c r="AN449" s="213">
        <v>8.2101806239737272</v>
      </c>
      <c r="AO449" s="128">
        <v>12.56</v>
      </c>
      <c r="AP449" s="134">
        <v>1.1379999999999999</v>
      </c>
      <c r="AQ449" s="224">
        <f t="shared" si="102"/>
        <v>1.1460775473399458</v>
      </c>
      <c r="AR449" s="158">
        <v>1109</v>
      </c>
      <c r="AS449" s="229">
        <f t="shared" si="103"/>
        <v>0.73130034522439591</v>
      </c>
      <c r="AT449" s="230">
        <v>1738</v>
      </c>
      <c r="AU449" s="203">
        <v>15.027537372147915</v>
      </c>
      <c r="AV449" s="204">
        <v>65.774980330448457</v>
      </c>
      <c r="AW449" s="205">
        <v>19.197482297403621</v>
      </c>
      <c r="AX449" s="123">
        <v>2.7219000000000002</v>
      </c>
      <c r="AY449" s="281">
        <v>6.5476190476190483</v>
      </c>
      <c r="AZ449" s="282">
        <v>32.539682539682538</v>
      </c>
      <c r="BA449" s="283">
        <f t="shared" si="104"/>
        <v>60.912698412698411</v>
      </c>
      <c r="BB449" s="234">
        <v>80.155642023346303</v>
      </c>
      <c r="BC449" s="20">
        <v>1996</v>
      </c>
      <c r="BD449" s="263" t="s">
        <v>556</v>
      </c>
      <c r="BE449" s="261" t="s">
        <v>556</v>
      </c>
      <c r="BF449" s="259" t="s">
        <v>556</v>
      </c>
      <c r="BG449" s="256">
        <v>67.815126050420176</v>
      </c>
      <c r="BH449" s="248" t="s">
        <v>556</v>
      </c>
      <c r="BI449" s="249">
        <v>79.069767441860463</v>
      </c>
      <c r="BJ449" s="311" t="s">
        <v>1708</v>
      </c>
      <c r="BK449" s="307" t="s">
        <v>556</v>
      </c>
      <c r="BL449" s="319" t="s">
        <v>1728</v>
      </c>
      <c r="BM449" s="320" t="s">
        <v>556</v>
      </c>
      <c r="BN449" s="321" t="s">
        <v>2471</v>
      </c>
      <c r="BO449" s="145" t="s">
        <v>556</v>
      </c>
      <c r="BP449" s="14" t="s">
        <v>556</v>
      </c>
      <c r="BQ449" s="14" t="s">
        <v>556</v>
      </c>
    </row>
    <row r="450" spans="1:70" s="72" customFormat="1" ht="13.95" customHeight="1" x14ac:dyDescent="0.3">
      <c r="A450" s="3" t="s">
        <v>459</v>
      </c>
      <c r="B450" s="57" t="s">
        <v>462</v>
      </c>
      <c r="C450" s="55" t="s">
        <v>219</v>
      </c>
      <c r="D450" s="58">
        <v>3</v>
      </c>
      <c r="E450" s="59" t="s">
        <v>635</v>
      </c>
      <c r="F450" s="60" t="s">
        <v>453</v>
      </c>
      <c r="G450" s="61" t="s">
        <v>113</v>
      </c>
      <c r="H450" s="61" t="s">
        <v>113</v>
      </c>
      <c r="I450" s="62" t="s">
        <v>156</v>
      </c>
      <c r="J450" s="117" t="s">
        <v>2470</v>
      </c>
      <c r="K450" s="100" t="s">
        <v>1214</v>
      </c>
      <c r="L450" s="131">
        <v>493592330</v>
      </c>
      <c r="M450" s="109" t="s">
        <v>564</v>
      </c>
      <c r="N450" s="12" t="s">
        <v>1213</v>
      </c>
      <c r="O450" s="100"/>
      <c r="P450" s="131">
        <v>736423149</v>
      </c>
      <c r="Q450" s="67"/>
      <c r="R450" s="12"/>
      <c r="S450" s="100"/>
      <c r="T450" s="66"/>
      <c r="U450" s="170">
        <v>0</v>
      </c>
      <c r="V450" s="48">
        <f t="shared" si="92"/>
        <v>0</v>
      </c>
      <c r="W450" s="171">
        <f t="shared" si="93"/>
        <v>0</v>
      </c>
      <c r="X450" s="69">
        <v>117000</v>
      </c>
      <c r="Y450" s="48">
        <f t="shared" si="94"/>
        <v>448.27586206896552</v>
      </c>
      <c r="Z450" s="137">
        <f t="shared" si="95"/>
        <v>152.07551888297021</v>
      </c>
      <c r="AA450" s="69">
        <v>0</v>
      </c>
      <c r="AB450" s="48">
        <f t="shared" si="96"/>
        <v>0</v>
      </c>
      <c r="AC450" s="137">
        <f t="shared" si="97"/>
        <v>0</v>
      </c>
      <c r="AD450" s="70">
        <f t="shared" si="98"/>
        <v>117000</v>
      </c>
      <c r="AE450" s="71">
        <f t="shared" si="99"/>
        <v>448.27586206896552</v>
      </c>
      <c r="AF450" s="193">
        <f t="shared" si="100"/>
        <v>152.07551888297021</v>
      </c>
      <c r="AG450" s="185">
        <f t="shared" si="101"/>
        <v>9.30417495029821E-3</v>
      </c>
      <c r="AH450" s="180">
        <f t="shared" si="106"/>
        <v>0.10308370044052864</v>
      </c>
      <c r="AI450" s="189">
        <v>261</v>
      </c>
      <c r="AJ450" s="125">
        <v>769.3546</v>
      </c>
      <c r="AK450" s="149">
        <v>168</v>
      </c>
      <c r="AL450" s="221">
        <v>92</v>
      </c>
      <c r="AM450" s="216">
        <v>94.174757281553397</v>
      </c>
      <c r="AN450" s="213">
        <v>28.070175438596493</v>
      </c>
      <c r="AO450" s="127">
        <v>2.5150000000000001</v>
      </c>
      <c r="AP450" s="133">
        <v>0.22700000000000001</v>
      </c>
      <c r="AQ450" s="224">
        <f t="shared" si="102"/>
        <v>0.80307692307692302</v>
      </c>
      <c r="AR450" s="158">
        <v>325</v>
      </c>
      <c r="AS450" s="229">
        <f t="shared" si="103"/>
        <v>0.38157894736842107</v>
      </c>
      <c r="AT450" s="230">
        <v>684</v>
      </c>
      <c r="AU450" s="203">
        <v>14.17624521072797</v>
      </c>
      <c r="AV450" s="204">
        <v>66.666666666666657</v>
      </c>
      <c r="AW450" s="205">
        <v>19.157088122605366</v>
      </c>
      <c r="AX450" s="123">
        <v>1.6759999999999999</v>
      </c>
      <c r="AY450" s="281">
        <v>19.327731092436977</v>
      </c>
      <c r="AZ450" s="282">
        <v>37.815126050420169</v>
      </c>
      <c r="BA450" s="283">
        <f t="shared" si="104"/>
        <v>42.857142857142854</v>
      </c>
      <c r="BB450" s="234">
        <v>91.666666666666671</v>
      </c>
      <c r="BC450" s="19">
        <v>2016</v>
      </c>
      <c r="BD450" s="264" t="s">
        <v>557</v>
      </c>
      <c r="BE450" s="261" t="s">
        <v>556</v>
      </c>
      <c r="BF450" s="260" t="s">
        <v>557</v>
      </c>
      <c r="BG450" s="256">
        <v>16.521739130434781</v>
      </c>
      <c r="BH450" s="254" t="s">
        <v>557</v>
      </c>
      <c r="BI450" s="249">
        <v>0</v>
      </c>
      <c r="BJ450" s="309" t="s">
        <v>557</v>
      </c>
      <c r="BK450" s="307" t="s">
        <v>557</v>
      </c>
      <c r="BL450" s="319" t="s">
        <v>1728</v>
      </c>
      <c r="BM450" s="320" t="s">
        <v>557</v>
      </c>
      <c r="BN450" s="321" t="s">
        <v>1781</v>
      </c>
      <c r="BO450" s="21" t="s">
        <v>998</v>
      </c>
      <c r="BP450" s="10">
        <v>2</v>
      </c>
      <c r="BQ450" s="10" t="s">
        <v>557</v>
      </c>
      <c r="BR450" s="3"/>
    </row>
    <row r="451" spans="1:70" s="72" customFormat="1" ht="13.95" customHeight="1" x14ac:dyDescent="0.3">
      <c r="A451" s="56" t="s">
        <v>459</v>
      </c>
      <c r="B451" s="57" t="s">
        <v>463</v>
      </c>
      <c r="C451" s="55" t="s">
        <v>299</v>
      </c>
      <c r="D451" s="58">
        <v>2</v>
      </c>
      <c r="E451" s="59" t="s">
        <v>670</v>
      </c>
      <c r="F451" s="60" t="s">
        <v>454</v>
      </c>
      <c r="G451" s="61" t="s">
        <v>226</v>
      </c>
      <c r="H451" s="61" t="s">
        <v>233</v>
      </c>
      <c r="I451" s="62" t="s">
        <v>233</v>
      </c>
      <c r="J451" s="63" t="s">
        <v>2457</v>
      </c>
      <c r="K451" s="99" t="s">
        <v>1394</v>
      </c>
      <c r="L451" s="130">
        <v>491452501</v>
      </c>
      <c r="M451" s="109" t="s">
        <v>564</v>
      </c>
      <c r="N451" s="12" t="s">
        <v>1393</v>
      </c>
      <c r="O451" s="100"/>
      <c r="P451" s="131">
        <v>603163561</v>
      </c>
      <c r="Q451" s="67"/>
      <c r="R451" s="68"/>
      <c r="S451" s="99"/>
      <c r="T451" s="65"/>
      <c r="U451" s="170">
        <f>154000+21000</f>
        <v>175000</v>
      </c>
      <c r="V451" s="48">
        <f t="shared" si="92"/>
        <v>670.49808429118775</v>
      </c>
      <c r="W451" s="171">
        <f t="shared" si="93"/>
        <v>372.66694520858914</v>
      </c>
      <c r="X451" s="69">
        <v>42200</v>
      </c>
      <c r="Y451" s="48">
        <f t="shared" si="94"/>
        <v>161.68582375478928</v>
      </c>
      <c r="Z451" s="137">
        <f t="shared" si="95"/>
        <v>89.865971930299793</v>
      </c>
      <c r="AA451" s="69">
        <v>200000</v>
      </c>
      <c r="AB451" s="48">
        <f t="shared" si="96"/>
        <v>766.28352490421457</v>
      </c>
      <c r="AC451" s="137">
        <f t="shared" si="97"/>
        <v>425.9050802383876</v>
      </c>
      <c r="AD451" s="70">
        <f t="shared" si="98"/>
        <v>417200</v>
      </c>
      <c r="AE451" s="71">
        <f t="shared" si="99"/>
        <v>1598.4674329501916</v>
      </c>
      <c r="AF451" s="193">
        <f t="shared" si="100"/>
        <v>888.43799737727659</v>
      </c>
      <c r="AG451" s="185">
        <f t="shared" si="101"/>
        <v>2.7483530961791829E-2</v>
      </c>
      <c r="AH451" s="180">
        <f t="shared" si="106"/>
        <v>0.15143375680580762</v>
      </c>
      <c r="AI451" s="189">
        <v>261</v>
      </c>
      <c r="AJ451" s="125">
        <v>469.58819999999997</v>
      </c>
      <c r="AK451" s="149">
        <v>143</v>
      </c>
      <c r="AL451" s="221">
        <v>71</v>
      </c>
      <c r="AM451" s="216">
        <v>92.857142857142861</v>
      </c>
      <c r="AN451" s="213">
        <v>31.007751937984494</v>
      </c>
      <c r="AO451" s="127">
        <v>3.036</v>
      </c>
      <c r="AP451" s="133">
        <v>0.55100000000000005</v>
      </c>
      <c r="AQ451" s="224">
        <f t="shared" si="102"/>
        <v>1.2083333333333333</v>
      </c>
      <c r="AR451" s="158">
        <v>216</v>
      </c>
      <c r="AS451" s="229">
        <f t="shared" si="103"/>
        <v>0.65413533834586468</v>
      </c>
      <c r="AT451" s="230">
        <v>399</v>
      </c>
      <c r="AU451" s="203">
        <v>19.540229885057471</v>
      </c>
      <c r="AV451" s="204">
        <v>67.049808429118769</v>
      </c>
      <c r="AW451" s="205">
        <v>13.409961685823754</v>
      </c>
      <c r="AX451" s="123">
        <v>1.6759999999999999</v>
      </c>
      <c r="AY451" s="281">
        <v>11.111111111111111</v>
      </c>
      <c r="AZ451" s="282">
        <v>35.042735042735039</v>
      </c>
      <c r="BA451" s="283">
        <f t="shared" si="104"/>
        <v>53.846153846153847</v>
      </c>
      <c r="BB451" s="234">
        <v>84.126984126984127</v>
      </c>
      <c r="BC451" s="20">
        <v>2014</v>
      </c>
      <c r="BD451" s="263" t="s">
        <v>556</v>
      </c>
      <c r="BE451" s="261" t="s">
        <v>556</v>
      </c>
      <c r="BF451" s="260" t="s">
        <v>557</v>
      </c>
      <c r="BG451" s="256">
        <v>18.442622950819672</v>
      </c>
      <c r="BH451" s="254" t="s">
        <v>557</v>
      </c>
      <c r="BI451" s="249">
        <v>0</v>
      </c>
      <c r="BJ451" s="309" t="s">
        <v>557</v>
      </c>
      <c r="BK451" s="307" t="s">
        <v>557</v>
      </c>
      <c r="BL451" s="319" t="s">
        <v>1728</v>
      </c>
      <c r="BM451" s="320" t="s">
        <v>556</v>
      </c>
      <c r="BN451" s="321" t="s">
        <v>1957</v>
      </c>
      <c r="BO451" s="145" t="s">
        <v>557</v>
      </c>
      <c r="BP451" s="14" t="s">
        <v>556</v>
      </c>
      <c r="BQ451" s="14" t="s">
        <v>557</v>
      </c>
    </row>
    <row r="452" spans="1:70" s="56" customFormat="1" ht="13.8" customHeight="1" x14ac:dyDescent="0.3">
      <c r="A452" s="3" t="s">
        <v>459</v>
      </c>
      <c r="B452" s="57" t="s">
        <v>462</v>
      </c>
      <c r="C452" s="55" t="s">
        <v>220</v>
      </c>
      <c r="D452" s="58">
        <v>1</v>
      </c>
      <c r="E452" s="59"/>
      <c r="F452" s="60" t="s">
        <v>453</v>
      </c>
      <c r="G452" s="61" t="s">
        <v>113</v>
      </c>
      <c r="H452" s="61" t="s">
        <v>114</v>
      </c>
      <c r="I452" s="62" t="s">
        <v>114</v>
      </c>
      <c r="J452" s="117" t="s">
        <v>2472</v>
      </c>
      <c r="K452" s="100" t="s">
        <v>1216</v>
      </c>
      <c r="L452" s="131">
        <v>724791102</v>
      </c>
      <c r="M452" s="109" t="s">
        <v>564</v>
      </c>
      <c r="N452" s="12" t="s">
        <v>1215</v>
      </c>
      <c r="O452" s="100"/>
      <c r="P452" s="131">
        <v>724565911</v>
      </c>
      <c r="Q452" s="67"/>
      <c r="R452" s="12"/>
      <c r="S452" s="100"/>
      <c r="T452" s="66"/>
      <c r="U452" s="170">
        <v>141000</v>
      </c>
      <c r="V452" s="48">
        <f t="shared" si="92"/>
        <v>1128</v>
      </c>
      <c r="W452" s="171">
        <f t="shared" si="93"/>
        <v>423.91391601152924</v>
      </c>
      <c r="X452" s="69">
        <v>0</v>
      </c>
      <c r="Y452" s="48">
        <f t="shared" si="94"/>
        <v>0</v>
      </c>
      <c r="Z452" s="137">
        <f t="shared" si="95"/>
        <v>0</v>
      </c>
      <c r="AA452" s="69">
        <v>0</v>
      </c>
      <c r="AB452" s="48">
        <f t="shared" si="96"/>
        <v>0</v>
      </c>
      <c r="AC452" s="137">
        <f t="shared" si="97"/>
        <v>0</v>
      </c>
      <c r="AD452" s="70">
        <f t="shared" si="98"/>
        <v>141000</v>
      </c>
      <c r="AE452" s="71">
        <f t="shared" si="99"/>
        <v>1128</v>
      </c>
      <c r="AF452" s="193">
        <f t="shared" si="100"/>
        <v>423.91391601152924</v>
      </c>
      <c r="AG452" s="185">
        <f t="shared" si="101"/>
        <v>1.88376753507014E-2</v>
      </c>
      <c r="AH452" s="180">
        <f t="shared" si="106"/>
        <v>0.28200000000000003</v>
      </c>
      <c r="AI452" s="189">
        <v>125</v>
      </c>
      <c r="AJ452" s="125">
        <v>332.61470000000003</v>
      </c>
      <c r="AK452" s="149">
        <v>69</v>
      </c>
      <c r="AL452" s="221">
        <v>40</v>
      </c>
      <c r="AM452" s="216">
        <v>97.674418604651152</v>
      </c>
      <c r="AN452" s="213">
        <v>33.333333333333329</v>
      </c>
      <c r="AO452" s="127">
        <v>1.4970000000000001</v>
      </c>
      <c r="AP452" s="133">
        <v>0.1</v>
      </c>
      <c r="AQ452" s="224">
        <f t="shared" si="102"/>
        <v>0.99206349206349209</v>
      </c>
      <c r="AR452" s="158">
        <v>126</v>
      </c>
      <c r="AS452" s="229">
        <f t="shared" si="103"/>
        <v>0.42229729729729731</v>
      </c>
      <c r="AT452" s="230">
        <v>296</v>
      </c>
      <c r="AU452" s="203">
        <v>12</v>
      </c>
      <c r="AV452" s="204">
        <v>67.2</v>
      </c>
      <c r="AW452" s="205">
        <v>20.8</v>
      </c>
      <c r="AX452" s="123">
        <v>2.4691000000000001</v>
      </c>
      <c r="AY452" s="281">
        <v>6</v>
      </c>
      <c r="AZ452" s="282">
        <v>44</v>
      </c>
      <c r="BA452" s="283">
        <f t="shared" si="104"/>
        <v>50</v>
      </c>
      <c r="BB452" s="234">
        <v>75</v>
      </c>
      <c r="BC452" s="19">
        <v>2002</v>
      </c>
      <c r="BD452" s="263" t="s">
        <v>556</v>
      </c>
      <c r="BE452" s="261" t="s">
        <v>556</v>
      </c>
      <c r="BF452" s="260" t="s">
        <v>557</v>
      </c>
      <c r="BG452" s="256">
        <v>42.201834862385326</v>
      </c>
      <c r="BH452" s="254" t="s">
        <v>557</v>
      </c>
      <c r="BI452" s="249">
        <v>0</v>
      </c>
      <c r="BJ452" s="309" t="s">
        <v>557</v>
      </c>
      <c r="BK452" s="307" t="s">
        <v>557</v>
      </c>
      <c r="BL452" s="319" t="s">
        <v>1728</v>
      </c>
      <c r="BM452" s="320" t="s">
        <v>556</v>
      </c>
      <c r="BN452" s="321" t="s">
        <v>557</v>
      </c>
      <c r="BO452" s="21" t="s">
        <v>557</v>
      </c>
      <c r="BP452" s="10" t="s">
        <v>557</v>
      </c>
      <c r="BQ452" s="10" t="s">
        <v>557</v>
      </c>
      <c r="BR452" s="3"/>
    </row>
    <row r="453" spans="1:70" s="86" customFormat="1" ht="13.8" customHeight="1" thickBot="1" x14ac:dyDescent="0.35">
      <c r="A453" s="86" t="s">
        <v>459</v>
      </c>
      <c r="B453" s="338" t="s">
        <v>462</v>
      </c>
      <c r="C453" s="339" t="s">
        <v>221</v>
      </c>
      <c r="D453" s="87">
        <v>1</v>
      </c>
      <c r="E453" s="274"/>
      <c r="F453" s="88" t="s">
        <v>453</v>
      </c>
      <c r="G453" s="344" t="s">
        <v>113</v>
      </c>
      <c r="H453" s="344" t="s">
        <v>113</v>
      </c>
      <c r="I453" s="345" t="s">
        <v>156</v>
      </c>
      <c r="J453" s="346" t="s">
        <v>1217</v>
      </c>
      <c r="K453" s="106" t="s">
        <v>1218</v>
      </c>
      <c r="L453" s="132">
        <v>493595260</v>
      </c>
      <c r="M453" s="110" t="s">
        <v>564</v>
      </c>
      <c r="N453" s="89" t="s">
        <v>1219</v>
      </c>
      <c r="O453" s="106"/>
      <c r="P453" s="166">
        <v>739025988</v>
      </c>
      <c r="Q453" s="347"/>
      <c r="R453" s="89"/>
      <c r="S453" s="106"/>
      <c r="T453" s="349"/>
      <c r="U453" s="350">
        <f>380000+42600</f>
        <v>422600</v>
      </c>
      <c r="V453" s="91">
        <f t="shared" si="92"/>
        <v>1746.2809917355371</v>
      </c>
      <c r="W453" s="351">
        <f t="shared" si="93"/>
        <v>529.04906247773977</v>
      </c>
      <c r="X453" s="90">
        <v>50000</v>
      </c>
      <c r="Y453" s="91">
        <f t="shared" si="94"/>
        <v>206.61157024793388</v>
      </c>
      <c r="Z453" s="140">
        <f t="shared" si="95"/>
        <v>62.594541230210581</v>
      </c>
      <c r="AA453" s="90">
        <v>0</v>
      </c>
      <c r="AB453" s="91">
        <f t="shared" si="96"/>
        <v>0</v>
      </c>
      <c r="AC453" s="138">
        <f t="shared" si="97"/>
        <v>0</v>
      </c>
      <c r="AD453" s="92">
        <f t="shared" si="98"/>
        <v>472600</v>
      </c>
      <c r="AE453" s="93">
        <f t="shared" si="99"/>
        <v>1952.8925619834711</v>
      </c>
      <c r="AF453" s="194">
        <f t="shared" si="100"/>
        <v>591.64360370795043</v>
      </c>
      <c r="AG453" s="186">
        <f t="shared" si="101"/>
        <v>8.9694439172518497E-3</v>
      </c>
      <c r="AH453" s="181">
        <f t="shared" si="106"/>
        <v>1.5284605433376456E-2</v>
      </c>
      <c r="AI453" s="190">
        <v>242</v>
      </c>
      <c r="AJ453" s="352">
        <v>798.79169999999999</v>
      </c>
      <c r="AK453" s="353">
        <v>130</v>
      </c>
      <c r="AL453" s="222">
        <v>72</v>
      </c>
      <c r="AM453" s="217">
        <v>80.898876404494374</v>
      </c>
      <c r="AN453" s="214">
        <v>1.4184397163120568</v>
      </c>
      <c r="AO453" s="354">
        <v>10.538</v>
      </c>
      <c r="AP453" s="355">
        <v>6.1840000000000002</v>
      </c>
      <c r="AQ453" s="225">
        <f t="shared" si="102"/>
        <v>0.83161512027491413</v>
      </c>
      <c r="AR453" s="159">
        <v>291</v>
      </c>
      <c r="AS453" s="226">
        <f t="shared" si="103"/>
        <v>0.44731977818853974</v>
      </c>
      <c r="AT453" s="231">
        <v>541</v>
      </c>
      <c r="AU453" s="206">
        <v>12.396694214876034</v>
      </c>
      <c r="AV453" s="207">
        <v>62.396694214876035</v>
      </c>
      <c r="AW453" s="208">
        <v>25.206611570247933</v>
      </c>
      <c r="AX453" s="124">
        <v>1.8405</v>
      </c>
      <c r="AY453" s="284">
        <v>13.333333333333334</v>
      </c>
      <c r="AZ453" s="285">
        <v>28.571428571428569</v>
      </c>
      <c r="BA453" s="286">
        <f t="shared" si="104"/>
        <v>58.095238095238102</v>
      </c>
      <c r="BB453" s="235">
        <v>63.636363636363633</v>
      </c>
      <c r="BC453" s="94">
        <v>1994</v>
      </c>
      <c r="BD453" s="356" t="s">
        <v>557</v>
      </c>
      <c r="BE453" s="272" t="s">
        <v>556</v>
      </c>
      <c r="BF453" s="334" t="s">
        <v>556</v>
      </c>
      <c r="BG453" s="258">
        <v>45.531914893617021</v>
      </c>
      <c r="BH453" s="273" t="s">
        <v>556</v>
      </c>
      <c r="BI453" s="250">
        <v>30.666666666666664</v>
      </c>
      <c r="BJ453" s="360" t="s">
        <v>556</v>
      </c>
      <c r="BK453" s="313" t="s">
        <v>557</v>
      </c>
      <c r="BL453" s="323" t="s">
        <v>1728</v>
      </c>
      <c r="BM453" s="324" t="s">
        <v>556</v>
      </c>
      <c r="BN453" s="325" t="s">
        <v>1838</v>
      </c>
      <c r="BO453" s="147" t="s">
        <v>556</v>
      </c>
      <c r="BP453" s="95" t="s">
        <v>556</v>
      </c>
      <c r="BQ453" s="95" t="s">
        <v>557</v>
      </c>
    </row>
    <row r="454" spans="1:70" s="3" customFormat="1" x14ac:dyDescent="0.3">
      <c r="B454" s="4"/>
      <c r="C454" s="8"/>
      <c r="D454" s="10" t="s">
        <v>457</v>
      </c>
      <c r="E454" s="7"/>
      <c r="F454" s="9"/>
      <c r="G454" s="24"/>
      <c r="H454" s="24"/>
      <c r="I454" s="24"/>
      <c r="J454" s="21"/>
      <c r="K454" s="102"/>
      <c r="L454" s="13"/>
      <c r="M454" s="2"/>
      <c r="N454" s="12"/>
      <c r="O454" s="2"/>
      <c r="P454" s="13"/>
      <c r="S454" s="2"/>
      <c r="T454" s="16"/>
      <c r="U454" s="18" t="s">
        <v>457</v>
      </c>
      <c r="V454" s="48" t="s">
        <v>457</v>
      </c>
      <c r="W454" s="48" t="s">
        <v>457</v>
      </c>
      <c r="X454" s="18" t="s">
        <v>457</v>
      </c>
      <c r="Y454" s="48" t="s">
        <v>457</v>
      </c>
      <c r="Z454" s="48" t="s">
        <v>457</v>
      </c>
      <c r="AA454" s="18" t="s">
        <v>457</v>
      </c>
      <c r="AB454" s="48" t="s">
        <v>457</v>
      </c>
      <c r="AC454" s="48" t="s">
        <v>457</v>
      </c>
      <c r="AD454" s="17" t="s">
        <v>457</v>
      </c>
      <c r="AE454" s="48" t="s">
        <v>457</v>
      </c>
      <c r="AF454" s="195" t="s">
        <v>457</v>
      </c>
      <c r="AG454" s="119"/>
      <c r="AH454" s="182"/>
      <c r="AI454" s="5" t="s">
        <v>457</v>
      </c>
      <c r="AJ454" s="144" t="s">
        <v>457</v>
      </c>
      <c r="AK454" s="22"/>
      <c r="AL454" s="22" t="s">
        <v>457</v>
      </c>
      <c r="AM454" s="22"/>
      <c r="AN454" s="22"/>
      <c r="AO454" s="23"/>
      <c r="AP454" s="23"/>
      <c r="AQ454" s="23"/>
      <c r="AR454" s="160"/>
      <c r="AS454" s="161"/>
      <c r="AT454" s="23"/>
      <c r="AU454" s="237" t="s">
        <v>457</v>
      </c>
      <c r="AV454" s="237" t="s">
        <v>457</v>
      </c>
      <c r="AW454" s="238" t="s">
        <v>457</v>
      </c>
      <c r="AX454" s="121" t="s">
        <v>457</v>
      </c>
      <c r="AY454" s="236"/>
      <c r="AZ454" s="236"/>
      <c r="BA454" s="236"/>
      <c r="BB454" s="236" t="s">
        <v>457</v>
      </c>
      <c r="BC454" s="19"/>
      <c r="BD454" s="253"/>
      <c r="BE454" s="253"/>
      <c r="BF454" s="251"/>
      <c r="BG454" s="252"/>
      <c r="BH454" s="10"/>
      <c r="BI454" s="239"/>
      <c r="BJ454" s="21"/>
      <c r="BK454" s="13"/>
      <c r="BL454" s="10"/>
      <c r="BM454" s="21"/>
      <c r="BN454" s="10"/>
      <c r="BO454" s="21"/>
      <c r="BP454" s="10"/>
      <c r="BQ454" s="10"/>
    </row>
    <row r="455" spans="1:70" s="3" customFormat="1" x14ac:dyDescent="0.25">
      <c r="B455" s="4"/>
      <c r="C455" s="8"/>
      <c r="D455" s="9"/>
      <c r="E455" s="7"/>
      <c r="F455" s="9"/>
      <c r="G455" s="24"/>
      <c r="H455" s="24"/>
      <c r="I455" s="24"/>
      <c r="J455" s="21"/>
      <c r="K455" s="102"/>
      <c r="L455" s="13"/>
      <c r="M455" s="2"/>
      <c r="N455" s="12"/>
      <c r="O455" s="2"/>
      <c r="P455" s="13"/>
      <c r="S455" s="2"/>
      <c r="T455" s="16"/>
      <c r="U455" s="18"/>
      <c r="V455" s="48"/>
      <c r="W455" s="48"/>
      <c r="X455" s="18"/>
      <c r="Y455" s="48"/>
      <c r="Z455" s="48"/>
      <c r="AA455" s="18"/>
      <c r="AB455" s="48"/>
      <c r="AC455" s="48"/>
      <c r="AD455" s="17"/>
      <c r="AE455" s="51"/>
      <c r="AF455" s="196"/>
      <c r="AG455" s="118"/>
      <c r="AH455" s="183"/>
      <c r="AI455" s="5" t="s">
        <v>457</v>
      </c>
      <c r="AJ455" s="24"/>
      <c r="AK455" s="24"/>
      <c r="AL455" s="24"/>
      <c r="AM455" s="24"/>
      <c r="AN455" s="24"/>
      <c r="AO455" s="23"/>
      <c r="AP455" s="23"/>
      <c r="AQ455" s="23"/>
      <c r="AR455" s="269" t="s">
        <v>457</v>
      </c>
      <c r="AS455" s="161"/>
      <c r="AT455" s="23"/>
      <c r="AU455" s="23"/>
      <c r="AV455" s="23" t="s">
        <v>457</v>
      </c>
      <c r="AW455" s="23"/>
      <c r="AX455" s="23"/>
      <c r="AY455" s="275"/>
      <c r="AZ455" s="275"/>
      <c r="BA455" s="275"/>
      <c r="BB455" s="23"/>
      <c r="BC455" s="19"/>
      <c r="BD455" s="253"/>
      <c r="BE455" s="253"/>
      <c r="BF455" s="251"/>
      <c r="BG455" s="252"/>
      <c r="BH455" s="10"/>
      <c r="BI455" s="239"/>
      <c r="BJ455" s="21"/>
      <c r="BK455" s="13"/>
      <c r="BL455" s="10"/>
      <c r="BM455" s="21"/>
      <c r="BN455" s="10"/>
      <c r="BO455" s="21"/>
      <c r="BP455" s="10"/>
      <c r="BQ455" s="10"/>
    </row>
    <row r="456" spans="1:70" s="3" customFormat="1" x14ac:dyDescent="0.25">
      <c r="B456" s="4"/>
      <c r="C456" s="8"/>
      <c r="D456" s="9"/>
      <c r="E456" s="7"/>
      <c r="F456" s="9"/>
      <c r="G456" s="24"/>
      <c r="H456" s="24"/>
      <c r="I456" s="24"/>
      <c r="J456" s="21"/>
      <c r="K456" s="102"/>
      <c r="L456" s="13"/>
      <c r="M456" s="2"/>
      <c r="N456" s="12"/>
      <c r="O456" s="2"/>
      <c r="P456" s="13"/>
      <c r="S456" s="2"/>
      <c r="T456" s="16"/>
      <c r="U456" s="18"/>
      <c r="V456" s="48"/>
      <c r="W456" s="48"/>
      <c r="X456" s="18"/>
      <c r="Y456" s="48"/>
      <c r="Z456" s="48"/>
      <c r="AA456" s="18"/>
      <c r="AB456" s="48"/>
      <c r="AC456" s="48"/>
      <c r="AD456" s="17"/>
      <c r="AE456" s="51"/>
      <c r="AF456" s="196"/>
      <c r="AG456" s="118"/>
      <c r="AH456" s="183"/>
      <c r="AI456" s="269" t="s">
        <v>457</v>
      </c>
      <c r="AJ456" s="24"/>
      <c r="AK456" s="24"/>
      <c r="AL456" s="24"/>
      <c r="AM456" s="24"/>
      <c r="AN456" s="24"/>
      <c r="AO456" s="23"/>
      <c r="AP456" s="23"/>
      <c r="AQ456" s="23"/>
      <c r="AR456" s="160"/>
      <c r="AS456" s="161"/>
      <c r="AT456" s="23"/>
      <c r="AU456" s="23"/>
      <c r="AV456" s="23"/>
      <c r="AW456" s="23"/>
      <c r="AX456" s="23"/>
      <c r="AY456" s="275"/>
      <c r="AZ456" s="275"/>
      <c r="BA456" s="275"/>
      <c r="BB456" s="23"/>
      <c r="BC456" s="19"/>
      <c r="BD456" s="253"/>
      <c r="BE456" s="253"/>
      <c r="BF456" s="251"/>
      <c r="BG456" s="252"/>
      <c r="BH456" s="10"/>
      <c r="BI456" s="239"/>
      <c r="BJ456" s="21"/>
      <c r="BK456" s="13"/>
      <c r="BL456" s="10"/>
      <c r="BM456" s="21"/>
      <c r="BN456" s="10"/>
      <c r="BO456" s="21"/>
      <c r="BP456" s="10"/>
      <c r="BQ456" s="10"/>
    </row>
    <row r="457" spans="1:70" s="3" customFormat="1" x14ac:dyDescent="0.25">
      <c r="B457" s="4"/>
      <c r="C457" s="8"/>
      <c r="D457" s="9"/>
      <c r="E457" s="7"/>
      <c r="F457" s="9"/>
      <c r="G457" s="24"/>
      <c r="H457" s="24"/>
      <c r="I457" s="24"/>
      <c r="J457" s="21"/>
      <c r="K457" s="102"/>
      <c r="L457" s="13"/>
      <c r="M457" s="2"/>
      <c r="N457" s="12"/>
      <c r="O457" s="2"/>
      <c r="P457" s="13"/>
      <c r="S457" s="2"/>
      <c r="T457" s="16"/>
      <c r="U457" s="18"/>
      <c r="V457" s="48"/>
      <c r="W457" s="48"/>
      <c r="X457" s="18"/>
      <c r="Y457" s="48"/>
      <c r="Z457" s="48"/>
      <c r="AA457" s="18"/>
      <c r="AB457" s="48"/>
      <c r="AC457" s="48"/>
      <c r="AD457" s="17"/>
      <c r="AE457" s="51"/>
      <c r="AF457" s="196"/>
      <c r="AG457" s="118"/>
      <c r="AH457" s="183"/>
      <c r="AI457" s="24"/>
      <c r="AJ457" s="24"/>
      <c r="AK457" s="24"/>
      <c r="AL457" s="24"/>
      <c r="AM457" s="24"/>
      <c r="AN457" s="24"/>
      <c r="AO457" s="23"/>
      <c r="AP457" s="23"/>
      <c r="AQ457" s="23"/>
      <c r="AR457" s="160"/>
      <c r="AS457" s="161"/>
      <c r="AT457" s="23"/>
      <c r="AU457" s="23"/>
      <c r="AV457" s="23"/>
      <c r="AW457" s="23"/>
      <c r="AX457" s="23"/>
      <c r="AY457" s="275"/>
      <c r="AZ457" s="275"/>
      <c r="BA457" s="275"/>
      <c r="BB457" s="23"/>
      <c r="BC457" s="19"/>
      <c r="BD457" s="253"/>
      <c r="BE457" s="253"/>
      <c r="BF457" s="251"/>
      <c r="BG457" s="252"/>
      <c r="BH457" s="10"/>
      <c r="BI457" s="239"/>
      <c r="BJ457" s="21"/>
      <c r="BK457" s="13"/>
      <c r="BL457" s="10"/>
      <c r="BM457" s="21"/>
      <c r="BN457" s="10"/>
      <c r="BO457" s="21"/>
      <c r="BP457" s="10"/>
      <c r="BQ457" s="10"/>
    </row>
    <row r="458" spans="1:70" s="3" customFormat="1" x14ac:dyDescent="0.25">
      <c r="B458" s="4"/>
      <c r="C458" s="8"/>
      <c r="D458" s="9"/>
      <c r="E458" s="7"/>
      <c r="F458" s="9"/>
      <c r="G458" s="24"/>
      <c r="H458" s="24"/>
      <c r="I458" s="24"/>
      <c r="J458" s="21"/>
      <c r="K458" s="102"/>
      <c r="L458" s="13"/>
      <c r="M458" s="2"/>
      <c r="N458" s="12"/>
      <c r="O458" s="2"/>
      <c r="P458" s="13"/>
      <c r="S458" s="2"/>
      <c r="T458" s="16"/>
      <c r="U458" s="18"/>
      <c r="V458" s="48"/>
      <c r="W458" s="48"/>
      <c r="X458" s="18"/>
      <c r="Y458" s="48"/>
      <c r="Z458" s="48"/>
      <c r="AA458" s="18"/>
      <c r="AB458" s="48"/>
      <c r="AC458" s="48"/>
      <c r="AD458" s="17"/>
      <c r="AE458" s="51"/>
      <c r="AF458" s="196"/>
      <c r="AG458" s="118"/>
      <c r="AH458" s="183"/>
      <c r="AI458" s="24"/>
      <c r="AJ458" s="24"/>
      <c r="AK458" s="24"/>
      <c r="AL458" s="24"/>
      <c r="AM458" s="24"/>
      <c r="AN458" s="24"/>
      <c r="AO458" s="23"/>
      <c r="AP458" s="23"/>
      <c r="AQ458" s="23"/>
      <c r="AR458" s="160"/>
      <c r="AS458" s="161"/>
      <c r="AT458" s="23"/>
      <c r="AU458" s="23"/>
      <c r="AV458" s="23"/>
      <c r="AW458" s="23"/>
      <c r="AX458" s="23"/>
      <c r="AY458" s="275"/>
      <c r="AZ458" s="275"/>
      <c r="BA458" s="275"/>
      <c r="BB458" s="23"/>
      <c r="BC458" s="19"/>
      <c r="BD458" s="253"/>
      <c r="BE458" s="253"/>
      <c r="BF458" s="251"/>
      <c r="BG458" s="252"/>
      <c r="BH458" s="10"/>
      <c r="BI458" s="239"/>
      <c r="BJ458" s="21"/>
      <c r="BK458" s="13"/>
      <c r="BL458" s="10"/>
      <c r="BM458" s="21"/>
      <c r="BN458" s="10"/>
      <c r="BO458" s="21"/>
      <c r="BP458" s="10"/>
      <c r="BQ458" s="10"/>
    </row>
    <row r="459" spans="1:70" s="3" customFormat="1" x14ac:dyDescent="0.25">
      <c r="B459" s="4"/>
      <c r="C459" s="8"/>
      <c r="D459" s="9"/>
      <c r="E459" s="7"/>
      <c r="F459" s="9"/>
      <c r="G459" s="24"/>
      <c r="H459" s="24"/>
      <c r="I459" s="24"/>
      <c r="J459" s="21"/>
      <c r="K459" s="102"/>
      <c r="L459" s="13"/>
      <c r="M459" s="2"/>
      <c r="N459" s="12"/>
      <c r="O459" s="2"/>
      <c r="P459" s="13"/>
      <c r="S459" s="2"/>
      <c r="T459" s="16"/>
      <c r="U459" s="18" t="s">
        <v>457</v>
      </c>
      <c r="V459" s="48"/>
      <c r="W459" s="48"/>
      <c r="X459" s="18"/>
      <c r="Y459" s="48"/>
      <c r="Z459" s="48"/>
      <c r="AA459" s="18"/>
      <c r="AB459" s="48"/>
      <c r="AC459" s="48"/>
      <c r="AD459" s="17"/>
      <c r="AE459" s="51"/>
      <c r="AF459" s="196"/>
      <c r="AG459" s="118"/>
      <c r="AH459" s="183"/>
      <c r="AI459" s="24"/>
      <c r="AJ459" s="24"/>
      <c r="AK459" s="24"/>
      <c r="AL459" s="24"/>
      <c r="AM459" s="24"/>
      <c r="AN459" s="24"/>
      <c r="AO459" s="23"/>
      <c r="AP459" s="23"/>
      <c r="AQ459" s="23"/>
      <c r="AR459" s="160"/>
      <c r="AS459" s="161"/>
      <c r="AT459" s="23"/>
      <c r="AU459" s="23"/>
      <c r="AV459" s="23"/>
      <c r="AW459" s="23"/>
      <c r="AX459" s="23"/>
      <c r="AY459" s="275"/>
      <c r="AZ459" s="275"/>
      <c r="BA459" s="275"/>
      <c r="BB459" s="23"/>
      <c r="BC459" s="19"/>
      <c r="BD459" s="253"/>
      <c r="BE459" s="253"/>
      <c r="BF459" s="251"/>
      <c r="BG459" s="252"/>
      <c r="BH459" s="10"/>
      <c r="BI459" s="239"/>
      <c r="BJ459" s="21"/>
      <c r="BK459" s="13"/>
      <c r="BL459" s="10"/>
      <c r="BM459" s="21"/>
      <c r="BN459" s="10"/>
      <c r="BO459" s="21"/>
      <c r="BP459" s="10"/>
      <c r="BQ459" s="10"/>
    </row>
    <row r="460" spans="1:70" s="3" customFormat="1" x14ac:dyDescent="0.25">
      <c r="B460" s="4"/>
      <c r="C460" s="8"/>
      <c r="D460" s="9"/>
      <c r="E460" s="7"/>
      <c r="F460" s="9"/>
      <c r="G460" s="24"/>
      <c r="H460" s="24"/>
      <c r="I460" s="24"/>
      <c r="J460" s="21"/>
      <c r="K460" s="102"/>
      <c r="L460" s="13"/>
      <c r="M460" s="2"/>
      <c r="N460" s="12"/>
      <c r="O460" s="2"/>
      <c r="P460" s="13"/>
      <c r="S460" s="2"/>
      <c r="T460" s="16"/>
      <c r="U460" s="18"/>
      <c r="V460" s="48"/>
      <c r="W460" s="48"/>
      <c r="X460" s="18"/>
      <c r="Y460" s="48"/>
      <c r="Z460" s="48"/>
      <c r="AA460" s="18"/>
      <c r="AB460" s="48"/>
      <c r="AC460" s="48"/>
      <c r="AD460" s="17"/>
      <c r="AE460" s="51"/>
      <c r="AF460" s="196"/>
      <c r="AG460" s="118"/>
      <c r="AH460" s="183"/>
      <c r="AI460" s="24"/>
      <c r="AJ460" s="24"/>
      <c r="AK460" s="24"/>
      <c r="AL460" s="24"/>
      <c r="AM460" s="24"/>
      <c r="AN460" s="24"/>
      <c r="AO460" s="23"/>
      <c r="AP460" s="23"/>
      <c r="AQ460" s="23"/>
      <c r="AR460" s="160"/>
      <c r="AS460" s="161"/>
      <c r="AT460" s="23"/>
      <c r="AU460" s="23"/>
      <c r="AV460" s="23"/>
      <c r="AW460" s="23"/>
      <c r="AX460" s="23"/>
      <c r="AY460" s="275"/>
      <c r="AZ460" s="275"/>
      <c r="BA460" s="275"/>
      <c r="BB460" s="23"/>
      <c r="BC460" s="19"/>
      <c r="BD460" s="253"/>
      <c r="BE460" s="253"/>
      <c r="BF460" s="251"/>
      <c r="BG460" s="252"/>
      <c r="BH460" s="10"/>
      <c r="BI460" s="239"/>
      <c r="BJ460" s="21"/>
      <c r="BK460" s="13"/>
      <c r="BL460" s="10"/>
      <c r="BM460" s="21"/>
      <c r="BN460" s="10"/>
      <c r="BO460" s="21"/>
      <c r="BP460" s="10"/>
      <c r="BQ460" s="10"/>
    </row>
    <row r="461" spans="1:70" s="3" customFormat="1" x14ac:dyDescent="0.25">
      <c r="B461" s="4"/>
      <c r="C461" s="8"/>
      <c r="D461" s="9"/>
      <c r="E461" s="7"/>
      <c r="F461" s="9"/>
      <c r="G461" s="24"/>
      <c r="H461" s="24"/>
      <c r="I461" s="24"/>
      <c r="J461" s="21"/>
      <c r="K461" s="102"/>
      <c r="L461" s="13"/>
      <c r="M461" s="2"/>
      <c r="N461" s="12"/>
      <c r="O461" s="2"/>
      <c r="P461" s="13"/>
      <c r="S461" s="2"/>
      <c r="T461" s="16"/>
      <c r="U461" s="18"/>
      <c r="V461" s="48"/>
      <c r="W461" s="48"/>
      <c r="X461" s="18"/>
      <c r="Y461" s="48"/>
      <c r="Z461" s="48"/>
      <c r="AA461" s="18"/>
      <c r="AB461" s="48"/>
      <c r="AC461" s="48"/>
      <c r="AD461" s="17"/>
      <c r="AE461" s="51"/>
      <c r="AF461" s="196"/>
      <c r="AG461" s="118"/>
      <c r="AH461" s="183"/>
      <c r="AI461" s="24"/>
      <c r="AJ461" s="24"/>
      <c r="AK461" s="24"/>
      <c r="AL461" s="24"/>
      <c r="AM461" s="24"/>
      <c r="AN461" s="24"/>
      <c r="AO461" s="23"/>
      <c r="AP461" s="23"/>
      <c r="AQ461" s="23"/>
      <c r="AR461" s="160"/>
      <c r="AS461" s="161"/>
      <c r="AT461" s="23"/>
      <c r="AU461" s="23"/>
      <c r="AV461" s="23"/>
      <c r="AW461" s="23"/>
      <c r="AX461" s="23"/>
      <c r="AY461" s="275"/>
      <c r="AZ461" s="275"/>
      <c r="BA461" s="275"/>
      <c r="BB461" s="23"/>
      <c r="BC461" s="19"/>
      <c r="BD461" s="253"/>
      <c r="BE461" s="253"/>
      <c r="BF461" s="251"/>
      <c r="BG461" s="252"/>
      <c r="BH461" s="10"/>
      <c r="BI461" s="239"/>
      <c r="BJ461" s="21"/>
      <c r="BK461" s="13"/>
      <c r="BL461" s="10"/>
      <c r="BM461" s="21"/>
      <c r="BN461" s="10"/>
      <c r="BO461" s="21"/>
      <c r="BP461" s="10"/>
      <c r="BQ461" s="10"/>
    </row>
    <row r="462" spans="1:70" s="3" customFormat="1" x14ac:dyDescent="0.25">
      <c r="B462" s="4"/>
      <c r="C462" s="8"/>
      <c r="D462" s="9"/>
      <c r="E462" s="7"/>
      <c r="F462" s="9"/>
      <c r="G462" s="24"/>
      <c r="H462" s="24"/>
      <c r="I462" s="24"/>
      <c r="J462" s="21"/>
      <c r="K462" s="102"/>
      <c r="L462" s="13"/>
      <c r="M462" s="2"/>
      <c r="N462" s="12"/>
      <c r="O462" s="2"/>
      <c r="P462" s="13"/>
      <c r="S462" s="2"/>
      <c r="T462" s="16"/>
      <c r="U462" s="18"/>
      <c r="V462" s="48"/>
      <c r="W462" s="48"/>
      <c r="X462" s="18"/>
      <c r="Y462" s="48"/>
      <c r="Z462" s="48"/>
      <c r="AA462" s="18"/>
      <c r="AB462" s="48"/>
      <c r="AC462" s="48"/>
      <c r="AD462" s="17"/>
      <c r="AE462" s="51"/>
      <c r="AF462" s="196"/>
      <c r="AG462" s="118"/>
      <c r="AH462" s="183"/>
      <c r="AI462" s="24"/>
      <c r="AJ462" s="24"/>
      <c r="AK462" s="24"/>
      <c r="AL462" s="24"/>
      <c r="AM462" s="24"/>
      <c r="AN462" s="24"/>
      <c r="AO462" s="23"/>
      <c r="AP462" s="23"/>
      <c r="AQ462" s="23"/>
      <c r="AR462" s="160"/>
      <c r="AS462" s="161"/>
      <c r="AT462" s="23"/>
      <c r="AU462" s="23"/>
      <c r="AV462" s="23"/>
      <c r="AW462" s="23"/>
      <c r="AX462" s="23"/>
      <c r="AY462" s="275"/>
      <c r="AZ462" s="275"/>
      <c r="BA462" s="275"/>
      <c r="BB462" s="23"/>
      <c r="BC462" s="19"/>
      <c r="BD462" s="253"/>
      <c r="BE462" s="253"/>
      <c r="BF462" s="251"/>
      <c r="BG462" s="252"/>
      <c r="BH462" s="10"/>
      <c r="BI462" s="239"/>
      <c r="BJ462" s="21"/>
      <c r="BK462" s="13"/>
      <c r="BL462" s="10"/>
      <c r="BM462" s="21"/>
      <c r="BN462" s="10"/>
      <c r="BO462" s="21"/>
      <c r="BP462" s="10"/>
      <c r="BQ462" s="10"/>
    </row>
    <row r="463" spans="1:70" s="3" customFormat="1" x14ac:dyDescent="0.25">
      <c r="B463" s="4"/>
      <c r="C463" s="8"/>
      <c r="D463" s="9"/>
      <c r="E463" s="7"/>
      <c r="F463" s="9"/>
      <c r="G463" s="24"/>
      <c r="H463" s="24"/>
      <c r="I463" s="24"/>
      <c r="J463" s="21"/>
      <c r="K463" s="102"/>
      <c r="L463" s="13"/>
      <c r="M463" s="2"/>
      <c r="N463" s="12"/>
      <c r="O463" s="2"/>
      <c r="P463" s="13"/>
      <c r="S463" s="2"/>
      <c r="T463" s="16"/>
      <c r="U463" s="18"/>
      <c r="V463" s="48"/>
      <c r="W463" s="48"/>
      <c r="X463" s="18"/>
      <c r="Y463" s="48"/>
      <c r="Z463" s="48"/>
      <c r="AA463" s="18"/>
      <c r="AB463" s="48"/>
      <c r="AC463" s="48"/>
      <c r="AD463" s="17"/>
      <c r="AE463" s="51"/>
      <c r="AF463" s="196"/>
      <c r="AG463" s="118"/>
      <c r="AH463" s="183"/>
      <c r="AI463" s="24"/>
      <c r="AJ463" s="24"/>
      <c r="AK463" s="24"/>
      <c r="AL463" s="24"/>
      <c r="AM463" s="24"/>
      <c r="AN463" s="24"/>
      <c r="AO463" s="23"/>
      <c r="AP463" s="23"/>
      <c r="AQ463" s="23"/>
      <c r="AR463" s="160"/>
      <c r="AS463" s="161"/>
      <c r="AT463" s="23"/>
      <c r="AU463" s="23"/>
      <c r="AV463" s="23"/>
      <c r="AW463" s="23"/>
      <c r="AX463" s="23"/>
      <c r="AY463" s="275"/>
      <c r="AZ463" s="275"/>
      <c r="BA463" s="275"/>
      <c r="BB463" s="23"/>
      <c r="BC463" s="19"/>
      <c r="BD463" s="253"/>
      <c r="BE463" s="253"/>
      <c r="BF463" s="251"/>
      <c r="BG463" s="252"/>
      <c r="BH463" s="10"/>
      <c r="BI463" s="239"/>
      <c r="BJ463" s="21"/>
      <c r="BK463" s="13"/>
      <c r="BL463" s="10"/>
      <c r="BM463" s="21"/>
      <c r="BN463" s="10"/>
      <c r="BO463" s="21"/>
      <c r="BP463" s="10"/>
      <c r="BQ463" s="10"/>
    </row>
    <row r="464" spans="1:70" s="3" customFormat="1" x14ac:dyDescent="0.25">
      <c r="B464" s="4"/>
      <c r="C464" s="8"/>
      <c r="D464" s="9"/>
      <c r="E464" s="7"/>
      <c r="F464" s="9"/>
      <c r="G464" s="24"/>
      <c r="H464" s="24"/>
      <c r="I464" s="24"/>
      <c r="J464" s="21"/>
      <c r="K464" s="102"/>
      <c r="L464" s="13"/>
      <c r="M464" s="2"/>
      <c r="N464" s="12"/>
      <c r="O464" s="2"/>
      <c r="P464" s="13"/>
      <c r="S464" s="2"/>
      <c r="T464" s="16"/>
      <c r="U464" s="18"/>
      <c r="V464" s="48"/>
      <c r="W464" s="48"/>
      <c r="X464" s="18"/>
      <c r="Y464" s="48"/>
      <c r="Z464" s="48"/>
      <c r="AA464" s="18"/>
      <c r="AB464" s="48"/>
      <c r="AC464" s="48"/>
      <c r="AD464" s="17"/>
      <c r="AE464" s="51"/>
      <c r="AF464" s="196"/>
      <c r="AG464" s="118"/>
      <c r="AH464" s="183"/>
      <c r="AI464" s="24"/>
      <c r="AJ464" s="24"/>
      <c r="AK464" s="24"/>
      <c r="AL464" s="24"/>
      <c r="AM464" s="24"/>
      <c r="AN464" s="24"/>
      <c r="AO464" s="23"/>
      <c r="AP464" s="23"/>
      <c r="AQ464" s="23"/>
      <c r="AR464" s="160"/>
      <c r="AS464" s="161"/>
      <c r="AT464" s="23"/>
      <c r="AU464" s="23"/>
      <c r="AV464" s="23"/>
      <c r="AW464" s="23"/>
      <c r="AX464" s="23"/>
      <c r="AY464" s="275"/>
      <c r="AZ464" s="275"/>
      <c r="BA464" s="275"/>
      <c r="BB464" s="23"/>
      <c r="BC464" s="19"/>
      <c r="BD464" s="253"/>
      <c r="BE464" s="253"/>
      <c r="BF464" s="251"/>
      <c r="BG464" s="252"/>
      <c r="BH464" s="10"/>
      <c r="BI464" s="239"/>
      <c r="BJ464" s="21"/>
      <c r="BK464" s="13"/>
      <c r="BL464" s="10"/>
      <c r="BM464" s="21"/>
      <c r="BN464" s="10"/>
      <c r="BO464" s="21"/>
      <c r="BP464" s="10"/>
      <c r="BQ464" s="10"/>
    </row>
    <row r="465" spans="2:69" s="3" customFormat="1" x14ac:dyDescent="0.25">
      <c r="B465" s="4"/>
      <c r="C465" s="8"/>
      <c r="D465" s="9"/>
      <c r="E465" s="7"/>
      <c r="F465" s="9"/>
      <c r="G465" s="24"/>
      <c r="H465" s="24"/>
      <c r="I465" s="24"/>
      <c r="J465" s="21"/>
      <c r="K465" s="102"/>
      <c r="L465" s="13"/>
      <c r="M465" s="2"/>
      <c r="N465" s="12"/>
      <c r="O465" s="2"/>
      <c r="P465" s="13"/>
      <c r="S465" s="2"/>
      <c r="T465" s="16"/>
      <c r="U465" s="18"/>
      <c r="V465" s="48"/>
      <c r="W465" s="48"/>
      <c r="X465" s="18"/>
      <c r="Y465" s="48"/>
      <c r="Z465" s="48"/>
      <c r="AA465" s="18"/>
      <c r="AB465" s="48"/>
      <c r="AC465" s="48"/>
      <c r="AD465" s="17"/>
      <c r="AE465" s="51"/>
      <c r="AF465" s="196"/>
      <c r="AG465" s="118"/>
      <c r="AH465" s="183"/>
      <c r="AI465" s="24"/>
      <c r="AJ465" s="24"/>
      <c r="AK465" s="24"/>
      <c r="AL465" s="24"/>
      <c r="AM465" s="24"/>
      <c r="AN465" s="24"/>
      <c r="AO465" s="23"/>
      <c r="AP465" s="23"/>
      <c r="AQ465" s="23"/>
      <c r="AR465" s="160"/>
      <c r="AS465" s="161"/>
      <c r="AT465" s="23"/>
      <c r="AU465" s="23"/>
      <c r="AV465" s="23"/>
      <c r="AW465" s="23"/>
      <c r="AX465" s="23"/>
      <c r="AY465" s="275"/>
      <c r="AZ465" s="275"/>
      <c r="BA465" s="275"/>
      <c r="BB465" s="23"/>
      <c r="BC465" s="19"/>
      <c r="BD465" s="253"/>
      <c r="BE465" s="253"/>
      <c r="BF465" s="251"/>
      <c r="BG465" s="252"/>
      <c r="BH465" s="10"/>
      <c r="BI465" s="239"/>
      <c r="BJ465" s="21"/>
      <c r="BK465" s="13"/>
      <c r="BL465" s="10"/>
      <c r="BM465" s="21"/>
      <c r="BN465" s="10"/>
      <c r="BO465" s="21"/>
      <c r="BP465" s="10"/>
      <c r="BQ465" s="10"/>
    </row>
    <row r="466" spans="2:69" s="3" customFormat="1" x14ac:dyDescent="0.25">
      <c r="B466" s="4"/>
      <c r="C466" s="8"/>
      <c r="D466" s="9"/>
      <c r="E466" s="7"/>
      <c r="F466" s="9"/>
      <c r="G466" s="24"/>
      <c r="H466" s="24"/>
      <c r="I466" s="24"/>
      <c r="J466" s="21"/>
      <c r="K466" s="102"/>
      <c r="L466" s="13"/>
      <c r="M466" s="2"/>
      <c r="N466" s="12"/>
      <c r="O466" s="2"/>
      <c r="P466" s="13"/>
      <c r="S466" s="2"/>
      <c r="T466" s="16"/>
      <c r="U466" s="18"/>
      <c r="V466" s="48"/>
      <c r="W466" s="48"/>
      <c r="X466" s="18"/>
      <c r="Y466" s="48"/>
      <c r="Z466" s="48"/>
      <c r="AA466" s="18"/>
      <c r="AB466" s="48"/>
      <c r="AC466" s="48"/>
      <c r="AD466" s="17"/>
      <c r="AE466" s="51"/>
      <c r="AF466" s="196"/>
      <c r="AG466" s="118"/>
      <c r="AH466" s="183"/>
      <c r="AI466" s="24"/>
      <c r="AJ466" s="24"/>
      <c r="AK466" s="24"/>
      <c r="AL466" s="24"/>
      <c r="AM466" s="24"/>
      <c r="AN466" s="24"/>
      <c r="AO466" s="23"/>
      <c r="AP466" s="23"/>
      <c r="AQ466" s="23"/>
      <c r="AR466" s="160"/>
      <c r="AS466" s="161"/>
      <c r="AT466" s="23"/>
      <c r="AU466" s="23"/>
      <c r="AV466" s="23"/>
      <c r="AW466" s="23"/>
      <c r="AX466" s="23"/>
      <c r="AY466" s="275"/>
      <c r="AZ466" s="275"/>
      <c r="BA466" s="275"/>
      <c r="BB466" s="23"/>
      <c r="BC466" s="19"/>
      <c r="BD466" s="253"/>
      <c r="BE466" s="253"/>
      <c r="BF466" s="251"/>
      <c r="BG466" s="252"/>
      <c r="BH466" s="10"/>
      <c r="BI466" s="239"/>
      <c r="BJ466" s="21"/>
      <c r="BK466" s="13"/>
      <c r="BL466" s="10"/>
      <c r="BM466" s="21"/>
      <c r="BN466" s="10"/>
      <c r="BO466" s="21"/>
      <c r="BP466" s="10"/>
      <c r="BQ466" s="10"/>
    </row>
    <row r="467" spans="2:69" s="3" customFormat="1" x14ac:dyDescent="0.25">
      <c r="B467" s="4"/>
      <c r="C467" s="8"/>
      <c r="D467" s="9"/>
      <c r="E467" s="7"/>
      <c r="F467" s="9"/>
      <c r="G467" s="24"/>
      <c r="H467" s="24"/>
      <c r="I467" s="24"/>
      <c r="J467" s="21"/>
      <c r="K467" s="102"/>
      <c r="L467" s="13"/>
      <c r="M467" s="2"/>
      <c r="N467" s="12"/>
      <c r="O467" s="2"/>
      <c r="P467" s="13"/>
      <c r="S467" s="2"/>
      <c r="T467" s="16"/>
      <c r="U467" s="18"/>
      <c r="V467" s="48"/>
      <c r="W467" s="48"/>
      <c r="X467" s="18"/>
      <c r="Y467" s="48"/>
      <c r="Z467" s="48"/>
      <c r="AA467" s="18"/>
      <c r="AB467" s="48"/>
      <c r="AC467" s="48"/>
      <c r="AD467" s="17"/>
      <c r="AE467" s="51"/>
      <c r="AF467" s="196"/>
      <c r="AG467" s="118"/>
      <c r="AH467" s="183"/>
      <c r="AI467" s="24"/>
      <c r="AJ467" s="24"/>
      <c r="AK467" s="24"/>
      <c r="AL467" s="24"/>
      <c r="AM467" s="24"/>
      <c r="AN467" s="24"/>
      <c r="AO467" s="23"/>
      <c r="AP467" s="23"/>
      <c r="AQ467" s="23"/>
      <c r="AR467" s="160"/>
      <c r="AS467" s="161"/>
      <c r="AT467" s="23"/>
      <c r="AU467" s="23"/>
      <c r="AV467" s="23"/>
      <c r="AW467" s="23"/>
      <c r="AX467" s="23"/>
      <c r="AY467" s="275"/>
      <c r="AZ467" s="275"/>
      <c r="BA467" s="275"/>
      <c r="BB467" s="23"/>
      <c r="BC467" s="19"/>
      <c r="BD467" s="253"/>
      <c r="BE467" s="253"/>
      <c r="BF467" s="251"/>
      <c r="BG467" s="252"/>
      <c r="BH467" s="10"/>
      <c r="BI467" s="239"/>
      <c r="BJ467" s="21"/>
      <c r="BK467" s="13"/>
      <c r="BL467" s="10"/>
      <c r="BM467" s="21"/>
      <c r="BN467" s="10"/>
      <c r="BO467" s="21"/>
      <c r="BP467" s="10"/>
      <c r="BQ467" s="10"/>
    </row>
    <row r="468" spans="2:69" s="3" customFormat="1" x14ac:dyDescent="0.25">
      <c r="B468" s="4"/>
      <c r="C468" s="8"/>
      <c r="D468" s="9"/>
      <c r="E468" s="7"/>
      <c r="F468" s="9"/>
      <c r="G468" s="24"/>
      <c r="H468" s="24"/>
      <c r="I468" s="24"/>
      <c r="J468" s="21"/>
      <c r="K468" s="102"/>
      <c r="L468" s="13"/>
      <c r="M468" s="2"/>
      <c r="N468" s="12"/>
      <c r="O468" s="2"/>
      <c r="P468" s="13"/>
      <c r="S468" s="2"/>
      <c r="T468" s="16"/>
      <c r="U468" s="18"/>
      <c r="V468" s="48"/>
      <c r="W468" s="48"/>
      <c r="X468" s="18"/>
      <c r="Y468" s="48"/>
      <c r="Z468" s="48"/>
      <c r="AA468" s="18"/>
      <c r="AB468" s="48"/>
      <c r="AC468" s="48"/>
      <c r="AD468" s="17"/>
      <c r="AE468" s="51"/>
      <c r="AF468" s="196"/>
      <c r="AG468" s="118"/>
      <c r="AH468" s="183"/>
      <c r="AI468" s="24"/>
      <c r="AJ468" s="24"/>
      <c r="AK468" s="24"/>
      <c r="AL468" s="24"/>
      <c r="AM468" s="24"/>
      <c r="AN468" s="24"/>
      <c r="AO468" s="23"/>
      <c r="AP468" s="23"/>
      <c r="AQ468" s="23"/>
      <c r="AR468" s="160"/>
      <c r="AS468" s="161"/>
      <c r="AT468" s="23"/>
      <c r="AU468" s="23"/>
      <c r="AV468" s="23"/>
      <c r="AW468" s="23"/>
      <c r="AX468" s="23"/>
      <c r="AY468" s="275"/>
      <c r="AZ468" s="275"/>
      <c r="BA468" s="275"/>
      <c r="BB468" s="23"/>
      <c r="BC468" s="19"/>
      <c r="BD468" s="253"/>
      <c r="BE468" s="253"/>
      <c r="BF468" s="251"/>
      <c r="BG468" s="252"/>
      <c r="BH468" s="10"/>
      <c r="BI468" s="239"/>
      <c r="BJ468" s="21"/>
      <c r="BK468" s="13"/>
      <c r="BL468" s="10"/>
      <c r="BM468" s="21"/>
      <c r="BN468" s="10"/>
      <c r="BO468" s="21"/>
      <c r="BP468" s="10"/>
      <c r="BQ468" s="10"/>
    </row>
    <row r="469" spans="2:69" s="3" customFormat="1" x14ac:dyDescent="0.25">
      <c r="B469" s="4"/>
      <c r="C469" s="8"/>
      <c r="D469" s="9"/>
      <c r="E469" s="7"/>
      <c r="F469" s="9"/>
      <c r="G469" s="24"/>
      <c r="H469" s="24"/>
      <c r="I469" s="24"/>
      <c r="J469" s="21"/>
      <c r="K469" s="102"/>
      <c r="L469" s="13"/>
      <c r="M469" s="2"/>
      <c r="N469" s="12"/>
      <c r="O469" s="2"/>
      <c r="P469" s="13"/>
      <c r="S469" s="2"/>
      <c r="T469" s="16"/>
      <c r="U469" s="18"/>
      <c r="V469" s="48"/>
      <c r="W469" s="48"/>
      <c r="X469" s="18"/>
      <c r="Y469" s="48"/>
      <c r="Z469" s="48"/>
      <c r="AA469" s="18"/>
      <c r="AB469" s="48"/>
      <c r="AC469" s="48"/>
      <c r="AD469" s="17"/>
      <c r="AE469" s="51"/>
      <c r="AF469" s="196"/>
      <c r="AG469" s="118"/>
      <c r="AH469" s="183"/>
      <c r="AI469" s="24"/>
      <c r="AJ469" s="24"/>
      <c r="AK469" s="24"/>
      <c r="AL469" s="24"/>
      <c r="AM469" s="24"/>
      <c r="AN469" s="24"/>
      <c r="AO469" s="23"/>
      <c r="AP469" s="23"/>
      <c r="AQ469" s="23"/>
      <c r="AR469" s="160"/>
      <c r="AS469" s="161"/>
      <c r="AT469" s="23"/>
      <c r="AU469" s="23"/>
      <c r="AV469" s="23"/>
      <c r="AW469" s="23"/>
      <c r="AX469" s="23"/>
      <c r="AY469" s="275"/>
      <c r="AZ469" s="275"/>
      <c r="BA469" s="275"/>
      <c r="BB469" s="23"/>
      <c r="BC469" s="19"/>
      <c r="BD469" s="253"/>
      <c r="BE469" s="253"/>
      <c r="BF469" s="251"/>
      <c r="BG469" s="252"/>
      <c r="BH469" s="10"/>
      <c r="BI469" s="239"/>
      <c r="BJ469" s="21"/>
      <c r="BK469" s="13"/>
      <c r="BL469" s="10"/>
      <c r="BM469" s="21"/>
      <c r="BN469" s="10"/>
      <c r="BO469" s="21"/>
      <c r="BP469" s="10"/>
      <c r="BQ469" s="10"/>
    </row>
    <row r="470" spans="2:69" s="3" customFormat="1" x14ac:dyDescent="0.25">
      <c r="B470" s="4"/>
      <c r="C470" s="8"/>
      <c r="D470" s="9"/>
      <c r="E470" s="7"/>
      <c r="F470" s="9"/>
      <c r="G470" s="24"/>
      <c r="H470" s="24"/>
      <c r="I470" s="24"/>
      <c r="J470" s="21"/>
      <c r="K470" s="102"/>
      <c r="L470" s="13"/>
      <c r="M470" s="2"/>
      <c r="N470" s="12"/>
      <c r="O470" s="2"/>
      <c r="P470" s="13"/>
      <c r="S470" s="2"/>
      <c r="T470" s="16"/>
      <c r="U470" s="18"/>
      <c r="V470" s="48"/>
      <c r="W470" s="48"/>
      <c r="X470" s="18"/>
      <c r="Y470" s="48"/>
      <c r="Z470" s="48"/>
      <c r="AA470" s="18"/>
      <c r="AB470" s="48"/>
      <c r="AC470" s="48"/>
      <c r="AD470" s="17"/>
      <c r="AE470" s="51"/>
      <c r="AF470" s="196"/>
      <c r="AG470" s="118"/>
      <c r="AH470" s="183"/>
      <c r="AI470" s="24"/>
      <c r="AJ470" s="24"/>
      <c r="AK470" s="24"/>
      <c r="AL470" s="24"/>
      <c r="AM470" s="24"/>
      <c r="AN470" s="24"/>
      <c r="AO470" s="23"/>
      <c r="AP470" s="23"/>
      <c r="AQ470" s="23"/>
      <c r="AR470" s="160"/>
      <c r="AS470" s="161"/>
      <c r="AT470" s="23"/>
      <c r="AU470" s="23"/>
      <c r="AV470" s="23"/>
      <c r="AW470" s="23"/>
      <c r="AX470" s="23"/>
      <c r="AY470" s="275"/>
      <c r="AZ470" s="275"/>
      <c r="BA470" s="275"/>
      <c r="BB470" s="23"/>
      <c r="BC470" s="19"/>
      <c r="BD470" s="253"/>
      <c r="BE470" s="253"/>
      <c r="BF470" s="251"/>
      <c r="BG470" s="252"/>
      <c r="BH470" s="10"/>
      <c r="BI470" s="239"/>
      <c r="BJ470" s="21"/>
      <c r="BK470" s="13"/>
      <c r="BL470" s="10"/>
      <c r="BM470" s="21"/>
      <c r="BN470" s="10"/>
      <c r="BO470" s="21"/>
      <c r="BP470" s="10"/>
      <c r="BQ470" s="10"/>
    </row>
    <row r="471" spans="2:69" s="3" customFormat="1" x14ac:dyDescent="0.25">
      <c r="B471" s="4"/>
      <c r="C471" s="8"/>
      <c r="D471" s="9"/>
      <c r="E471" s="7"/>
      <c r="F471" s="9"/>
      <c r="G471" s="24"/>
      <c r="H471" s="24"/>
      <c r="I471" s="24"/>
      <c r="J471" s="21"/>
      <c r="K471" s="102"/>
      <c r="L471" s="13"/>
      <c r="M471" s="2"/>
      <c r="N471" s="12"/>
      <c r="O471" s="2"/>
      <c r="P471" s="13"/>
      <c r="S471" s="2"/>
      <c r="T471" s="16"/>
      <c r="U471" s="18"/>
      <c r="V471" s="48"/>
      <c r="W471" s="48"/>
      <c r="X471" s="18"/>
      <c r="Y471" s="48"/>
      <c r="Z471" s="48"/>
      <c r="AA471" s="18"/>
      <c r="AB471" s="48"/>
      <c r="AC471" s="48"/>
      <c r="AD471" s="17"/>
      <c r="AE471" s="51"/>
      <c r="AF471" s="196"/>
      <c r="AG471" s="118"/>
      <c r="AH471" s="183"/>
      <c r="AI471" s="24"/>
      <c r="AJ471" s="24"/>
      <c r="AK471" s="24"/>
      <c r="AL471" s="24"/>
      <c r="AM471" s="24"/>
      <c r="AN471" s="24"/>
      <c r="AO471" s="23"/>
      <c r="AP471" s="23"/>
      <c r="AQ471" s="23"/>
      <c r="AR471" s="160"/>
      <c r="AS471" s="161"/>
      <c r="AT471" s="23"/>
      <c r="AU471" s="23"/>
      <c r="AV471" s="23"/>
      <c r="AW471" s="23"/>
      <c r="AX471" s="23"/>
      <c r="AY471" s="275"/>
      <c r="AZ471" s="275"/>
      <c r="BA471" s="275"/>
      <c r="BB471" s="23"/>
      <c r="BC471" s="19"/>
      <c r="BD471" s="253"/>
      <c r="BE471" s="253"/>
      <c r="BF471" s="251"/>
      <c r="BG471" s="252"/>
      <c r="BH471" s="10"/>
      <c r="BI471" s="239"/>
      <c r="BJ471" s="21"/>
      <c r="BK471" s="13"/>
      <c r="BL471" s="10"/>
      <c r="BM471" s="21"/>
      <c r="BN471" s="10"/>
      <c r="BO471" s="21"/>
      <c r="BP471" s="10"/>
      <c r="BQ471" s="10"/>
    </row>
    <row r="472" spans="2:69" s="3" customFormat="1" x14ac:dyDescent="0.25">
      <c r="B472" s="4"/>
      <c r="C472" s="8"/>
      <c r="D472" s="9"/>
      <c r="E472" s="7"/>
      <c r="F472" s="9"/>
      <c r="G472" s="24"/>
      <c r="H472" s="24"/>
      <c r="I472" s="24"/>
      <c r="J472" s="21"/>
      <c r="K472" s="102"/>
      <c r="L472" s="13"/>
      <c r="M472" s="2"/>
      <c r="N472" s="12"/>
      <c r="O472" s="2"/>
      <c r="P472" s="13"/>
      <c r="S472" s="2"/>
      <c r="T472" s="16"/>
      <c r="U472" s="18"/>
      <c r="V472" s="48"/>
      <c r="W472" s="48"/>
      <c r="X472" s="18"/>
      <c r="Y472" s="48"/>
      <c r="Z472" s="48"/>
      <c r="AA472" s="18"/>
      <c r="AB472" s="48"/>
      <c r="AC472" s="48"/>
      <c r="AD472" s="17"/>
      <c r="AE472" s="51"/>
      <c r="AF472" s="196"/>
      <c r="AG472" s="118"/>
      <c r="AH472" s="183"/>
      <c r="AI472" s="24"/>
      <c r="AJ472" s="24"/>
      <c r="AK472" s="24"/>
      <c r="AL472" s="24"/>
      <c r="AM472" s="24"/>
      <c r="AN472" s="24"/>
      <c r="AO472" s="23"/>
      <c r="AP472" s="23"/>
      <c r="AQ472" s="23"/>
      <c r="AR472" s="160"/>
      <c r="AS472" s="161"/>
      <c r="AT472" s="23"/>
      <c r="AU472" s="23"/>
      <c r="AV472" s="23"/>
      <c r="AW472" s="23"/>
      <c r="AX472" s="23"/>
      <c r="AY472" s="275"/>
      <c r="AZ472" s="275"/>
      <c r="BA472" s="275"/>
      <c r="BB472" s="23"/>
      <c r="BC472" s="19"/>
      <c r="BD472" s="253"/>
      <c r="BE472" s="253"/>
      <c r="BF472" s="251"/>
      <c r="BG472" s="252"/>
      <c r="BH472" s="10"/>
      <c r="BI472" s="239"/>
      <c r="BJ472" s="21"/>
      <c r="BK472" s="13"/>
      <c r="BL472" s="10"/>
      <c r="BM472" s="21"/>
      <c r="BN472" s="10"/>
      <c r="BO472" s="21"/>
      <c r="BP472" s="10"/>
      <c r="BQ472" s="10"/>
    </row>
    <row r="473" spans="2:69" s="3" customFormat="1" x14ac:dyDescent="0.25">
      <c r="B473" s="4"/>
      <c r="C473" s="8"/>
      <c r="D473" s="9"/>
      <c r="E473" s="7"/>
      <c r="F473" s="9"/>
      <c r="G473" s="24"/>
      <c r="H473" s="24"/>
      <c r="I473" s="24"/>
      <c r="J473" s="21"/>
      <c r="K473" s="102"/>
      <c r="L473" s="13"/>
      <c r="M473" s="2"/>
      <c r="N473" s="12"/>
      <c r="O473" s="2"/>
      <c r="P473" s="13"/>
      <c r="S473" s="2"/>
      <c r="T473" s="16"/>
      <c r="U473" s="18"/>
      <c r="V473" s="48"/>
      <c r="W473" s="48"/>
      <c r="X473" s="18"/>
      <c r="Y473" s="48"/>
      <c r="Z473" s="48"/>
      <c r="AA473" s="18"/>
      <c r="AB473" s="48"/>
      <c r="AC473" s="48"/>
      <c r="AD473" s="17"/>
      <c r="AE473" s="51"/>
      <c r="AF473" s="196"/>
      <c r="AG473" s="118"/>
      <c r="AH473" s="183"/>
      <c r="AI473" s="24"/>
      <c r="AJ473" s="24"/>
      <c r="AK473" s="24"/>
      <c r="AL473" s="24"/>
      <c r="AM473" s="24"/>
      <c r="AN473" s="24"/>
      <c r="AO473" s="23"/>
      <c r="AP473" s="23"/>
      <c r="AQ473" s="23"/>
      <c r="AR473" s="160"/>
      <c r="AS473" s="161"/>
      <c r="AT473" s="23"/>
      <c r="AU473" s="23"/>
      <c r="AV473" s="23"/>
      <c r="AW473" s="23"/>
      <c r="AX473" s="23"/>
      <c r="AY473" s="275"/>
      <c r="AZ473" s="275"/>
      <c r="BA473" s="275"/>
      <c r="BB473" s="23"/>
      <c r="BC473" s="19"/>
      <c r="BD473" s="253"/>
      <c r="BE473" s="253"/>
      <c r="BF473" s="251"/>
      <c r="BG473" s="252"/>
      <c r="BH473" s="10"/>
      <c r="BI473" s="239"/>
      <c r="BJ473" s="21"/>
      <c r="BK473" s="13"/>
      <c r="BL473" s="10"/>
      <c r="BM473" s="21"/>
      <c r="BN473" s="10"/>
      <c r="BO473" s="21"/>
      <c r="BP473" s="10"/>
      <c r="BQ473" s="10"/>
    </row>
    <row r="474" spans="2:69" s="3" customFormat="1" x14ac:dyDescent="0.25">
      <c r="B474" s="4"/>
      <c r="C474" s="8"/>
      <c r="D474" s="9"/>
      <c r="E474" s="7"/>
      <c r="F474" s="9"/>
      <c r="G474" s="24"/>
      <c r="H474" s="24"/>
      <c r="I474" s="24"/>
      <c r="J474" s="21"/>
      <c r="K474" s="102"/>
      <c r="L474" s="13"/>
      <c r="M474" s="2"/>
      <c r="N474" s="12"/>
      <c r="O474" s="2"/>
      <c r="P474" s="13"/>
      <c r="S474" s="2"/>
      <c r="T474" s="16"/>
      <c r="U474" s="18"/>
      <c r="V474" s="48"/>
      <c r="W474" s="48"/>
      <c r="X474" s="18"/>
      <c r="Y474" s="48"/>
      <c r="Z474" s="48"/>
      <c r="AA474" s="18"/>
      <c r="AB474" s="48"/>
      <c r="AC474" s="48"/>
      <c r="AD474" s="17"/>
      <c r="AE474" s="51"/>
      <c r="AF474" s="196"/>
      <c r="AG474" s="118"/>
      <c r="AH474" s="183"/>
      <c r="AI474" s="24"/>
      <c r="AJ474" s="24"/>
      <c r="AK474" s="24"/>
      <c r="AL474" s="24"/>
      <c r="AM474" s="24"/>
      <c r="AN474" s="24"/>
      <c r="AO474" s="23"/>
      <c r="AP474" s="23"/>
      <c r="AQ474" s="23"/>
      <c r="AR474" s="160"/>
      <c r="AS474" s="161"/>
      <c r="AT474" s="23"/>
      <c r="AU474" s="23"/>
      <c r="AV474" s="23"/>
      <c r="AW474" s="23"/>
      <c r="AX474" s="23"/>
      <c r="AY474" s="275"/>
      <c r="AZ474" s="275"/>
      <c r="BA474" s="275"/>
      <c r="BB474" s="23"/>
      <c r="BC474" s="19"/>
      <c r="BD474" s="253"/>
      <c r="BE474" s="253"/>
      <c r="BF474" s="251"/>
      <c r="BG474" s="252"/>
      <c r="BH474" s="10"/>
      <c r="BI474" s="239"/>
      <c r="BJ474" s="21"/>
      <c r="BK474" s="13"/>
      <c r="BL474" s="10"/>
      <c r="BM474" s="21"/>
      <c r="BN474" s="10"/>
      <c r="BO474" s="21"/>
      <c r="BP474" s="10"/>
      <c r="BQ474" s="10"/>
    </row>
    <row r="475" spans="2:69" s="3" customFormat="1" x14ac:dyDescent="0.25">
      <c r="B475" s="4"/>
      <c r="C475" s="8"/>
      <c r="D475" s="9"/>
      <c r="E475" s="7"/>
      <c r="F475" s="9"/>
      <c r="G475" s="24"/>
      <c r="H475" s="24"/>
      <c r="I475" s="24"/>
      <c r="J475" s="21"/>
      <c r="K475" s="102"/>
      <c r="L475" s="13"/>
      <c r="M475" s="2"/>
      <c r="N475" s="12"/>
      <c r="O475" s="2"/>
      <c r="P475" s="13"/>
      <c r="S475" s="2"/>
      <c r="T475" s="16"/>
      <c r="U475" s="18"/>
      <c r="V475" s="48"/>
      <c r="W475" s="48"/>
      <c r="X475" s="18"/>
      <c r="Y475" s="48"/>
      <c r="Z475" s="48"/>
      <c r="AA475" s="18"/>
      <c r="AB475" s="48"/>
      <c r="AC475" s="48"/>
      <c r="AD475" s="17"/>
      <c r="AE475" s="51"/>
      <c r="AF475" s="196"/>
      <c r="AG475" s="118"/>
      <c r="AH475" s="183"/>
      <c r="AI475" s="24"/>
      <c r="AJ475" s="24"/>
      <c r="AK475" s="24"/>
      <c r="AL475" s="24"/>
      <c r="AM475" s="24"/>
      <c r="AN475" s="24"/>
      <c r="AO475" s="23"/>
      <c r="AP475" s="23"/>
      <c r="AQ475" s="23"/>
      <c r="AR475" s="160"/>
      <c r="AS475" s="161"/>
      <c r="AT475" s="23"/>
      <c r="AU475" s="23"/>
      <c r="AV475" s="23"/>
      <c r="AW475" s="23"/>
      <c r="AX475" s="23"/>
      <c r="AY475" s="275"/>
      <c r="AZ475" s="275"/>
      <c r="BA475" s="275"/>
      <c r="BB475" s="23"/>
      <c r="BC475" s="19"/>
      <c r="BD475" s="253"/>
      <c r="BE475" s="253"/>
      <c r="BF475" s="251"/>
      <c r="BG475" s="252"/>
      <c r="BH475" s="10"/>
      <c r="BI475" s="239"/>
      <c r="BJ475" s="21"/>
      <c r="BK475" s="13"/>
      <c r="BL475" s="10"/>
      <c r="BM475" s="21"/>
      <c r="BN475" s="10"/>
      <c r="BO475" s="21"/>
      <c r="BP475" s="10"/>
      <c r="BQ475" s="10"/>
    </row>
    <row r="476" spans="2:69" s="3" customFormat="1" x14ac:dyDescent="0.25">
      <c r="B476" s="4"/>
      <c r="C476" s="8"/>
      <c r="D476" s="9"/>
      <c r="E476" s="7"/>
      <c r="F476" s="9"/>
      <c r="G476" s="24"/>
      <c r="H476" s="24"/>
      <c r="I476" s="24"/>
      <c r="J476" s="21"/>
      <c r="K476" s="102"/>
      <c r="L476" s="13"/>
      <c r="M476" s="2"/>
      <c r="N476" s="12"/>
      <c r="O476" s="2"/>
      <c r="P476" s="13"/>
      <c r="S476" s="2"/>
      <c r="T476" s="16"/>
      <c r="U476" s="18"/>
      <c r="V476" s="48"/>
      <c r="W476" s="48"/>
      <c r="X476" s="18"/>
      <c r="Y476" s="48"/>
      <c r="Z476" s="48"/>
      <c r="AA476" s="18"/>
      <c r="AB476" s="48"/>
      <c r="AC476" s="48"/>
      <c r="AD476" s="17"/>
      <c r="AE476" s="51"/>
      <c r="AF476" s="196"/>
      <c r="AG476" s="118"/>
      <c r="AH476" s="183"/>
      <c r="AI476" s="24"/>
      <c r="AJ476" s="24"/>
      <c r="AK476" s="24"/>
      <c r="AL476" s="24"/>
      <c r="AM476" s="24"/>
      <c r="AN476" s="24"/>
      <c r="AO476" s="23"/>
      <c r="AP476" s="23"/>
      <c r="AQ476" s="23"/>
      <c r="AR476" s="160"/>
      <c r="AS476" s="161"/>
      <c r="AT476" s="23"/>
      <c r="AU476" s="23"/>
      <c r="AV476" s="23"/>
      <c r="AW476" s="23"/>
      <c r="AX476" s="23"/>
      <c r="AY476" s="275"/>
      <c r="AZ476" s="275"/>
      <c r="BA476" s="275"/>
      <c r="BB476" s="23"/>
      <c r="BC476" s="19"/>
      <c r="BD476" s="253"/>
      <c r="BE476" s="253"/>
      <c r="BF476" s="251"/>
      <c r="BG476" s="252"/>
      <c r="BH476" s="10"/>
      <c r="BI476" s="239"/>
      <c r="BJ476" s="21"/>
      <c r="BK476" s="13"/>
      <c r="BL476" s="10"/>
      <c r="BM476" s="21"/>
      <c r="BN476" s="10"/>
      <c r="BO476" s="21"/>
      <c r="BP476" s="10"/>
      <c r="BQ476" s="10"/>
    </row>
  </sheetData>
  <sortState ref="A6:CQ453">
    <sortCondition ref="C6:C453"/>
    <sortCondition ref="F6:F453"/>
  </sortState>
  <mergeCells count="35">
    <mergeCell ref="BD2:BQ2"/>
    <mergeCell ref="BD3:BI3"/>
    <mergeCell ref="BJ3:BK3"/>
    <mergeCell ref="BL3:BN3"/>
    <mergeCell ref="BO3:BQ3"/>
    <mergeCell ref="AI2:BB2"/>
    <mergeCell ref="AK3:AN3"/>
    <mergeCell ref="AI3:AJ3"/>
    <mergeCell ref="AO3:AP3"/>
    <mergeCell ref="J2:P2"/>
    <mergeCell ref="AU3:AW3"/>
    <mergeCell ref="AD3:AF3"/>
    <mergeCell ref="AG3:AH3"/>
    <mergeCell ref="AX3:BB3"/>
    <mergeCell ref="G3:G4"/>
    <mergeCell ref="J3:J4"/>
    <mergeCell ref="K3:K4"/>
    <mergeCell ref="L3:L4"/>
    <mergeCell ref="I3:I4"/>
    <mergeCell ref="C3:C4"/>
    <mergeCell ref="B3:B4"/>
    <mergeCell ref="AQ3:AT3"/>
    <mergeCell ref="A1:BB1"/>
    <mergeCell ref="A2:I2"/>
    <mergeCell ref="A3:A4"/>
    <mergeCell ref="D3:D4"/>
    <mergeCell ref="E3:E4"/>
    <mergeCell ref="H3:H4"/>
    <mergeCell ref="M3:P3"/>
    <mergeCell ref="U2:AH2"/>
    <mergeCell ref="Q3:T3"/>
    <mergeCell ref="U3:W3"/>
    <mergeCell ref="X3:Z3"/>
    <mergeCell ref="AA3:AC3"/>
    <mergeCell ref="F3:F4"/>
  </mergeCells>
  <phoneticPr fontId="0" type="noConversion"/>
  <conditionalFormatting sqref="BD454:BD500 BG52:BG54 BG58:BG200">
    <cfRule type="containsText" dxfId="96" priority="147" stopIfTrue="1" operator="containsText" text="ano">
      <formula>NOT(ISERROR(SEARCH("ano",BD52)))</formula>
    </cfRule>
  </conditionalFormatting>
  <conditionalFormatting sqref="BE454:BE500">
    <cfRule type="containsText" dxfId="95" priority="146" stopIfTrue="1" operator="containsText" text="ano">
      <formula>NOT(ISERROR(SEARCH("ano",BE454)))</formula>
    </cfRule>
  </conditionalFormatting>
  <conditionalFormatting sqref="BG44:BG49 BF454:BG500 BG6:BG36 BG38:BG42 BG203:BG417 BG419:BG421 BG423:BG453">
    <cfRule type="containsText" dxfId="94" priority="144" stopIfTrue="1" operator="containsText" text="ano">
      <formula>NOT(ISERROR(SEARCH("ano",BF6)))</formula>
    </cfRule>
  </conditionalFormatting>
  <conditionalFormatting sqref="BI6:BI36 BI38:BI42 BI44:BI49 BH454:BI500 BI203:BI453 BI52:BI54 BI58:BI200">
    <cfRule type="containsText" dxfId="93" priority="141" stopIfTrue="1" operator="containsText" text="ano">
      <formula>NOT(ISERROR(SEARCH("ano",BH6)))</formula>
    </cfRule>
    <cfRule type="containsText" dxfId="92" priority="142" stopIfTrue="1" operator="containsText" text="ne">
      <formula>NOT(ISERROR(SEARCH("ne",BH6)))</formula>
    </cfRule>
  </conditionalFormatting>
  <conditionalFormatting sqref="BJ1:BK1 BJ454:BK1048576 BJ4:BK5 BJ3 BK6:BK453">
    <cfRule type="containsText" dxfId="91" priority="139" stopIfTrue="1" operator="containsText" text="ano">
      <formula>NOT(ISERROR(SEARCH("ano",BJ1)))</formula>
    </cfRule>
    <cfRule type="containsText" dxfId="90" priority="140" stopIfTrue="1" operator="containsText" text="ne">
      <formula>NOT(ISERROR(SEARCH("ne",BJ1)))</formula>
    </cfRule>
  </conditionalFormatting>
  <conditionalFormatting sqref="BG37">
    <cfRule type="containsText" dxfId="89" priority="133" stopIfTrue="1" operator="containsText" text="ano">
      <formula>NOT(ISERROR(SEARCH("ano",BG37)))</formula>
    </cfRule>
  </conditionalFormatting>
  <conditionalFormatting sqref="BI37">
    <cfRule type="containsText" dxfId="88" priority="131" stopIfTrue="1" operator="containsText" text="ano">
      <formula>NOT(ISERROR(SEARCH("ano",BI37)))</formula>
    </cfRule>
    <cfRule type="containsText" dxfId="87" priority="132" stopIfTrue="1" operator="containsText" text="ne">
      <formula>NOT(ISERROR(SEARCH("ne",BI37)))</formula>
    </cfRule>
  </conditionalFormatting>
  <conditionalFormatting sqref="BG43">
    <cfRule type="containsText" dxfId="86" priority="126" stopIfTrue="1" operator="containsText" text="ano">
      <formula>NOT(ISERROR(SEARCH("ano",BG43)))</formula>
    </cfRule>
  </conditionalFormatting>
  <conditionalFormatting sqref="BI43">
    <cfRule type="containsText" dxfId="85" priority="124" stopIfTrue="1" operator="containsText" text="ano">
      <formula>NOT(ISERROR(SEARCH("ano",BI43)))</formula>
    </cfRule>
    <cfRule type="containsText" dxfId="84" priority="125" stopIfTrue="1" operator="containsText" text="ne">
      <formula>NOT(ISERROR(SEARCH("ne",BI43)))</formula>
    </cfRule>
  </conditionalFormatting>
  <conditionalFormatting sqref="BM1 BM4:BN1048576 BO3:BO1048576">
    <cfRule type="containsText" dxfId="83" priority="123" stopIfTrue="1" operator="containsText" text="ne">
      <formula>NOT(ISERROR(SEARCH("ne",BM1)))</formula>
    </cfRule>
  </conditionalFormatting>
  <conditionalFormatting sqref="BN1">
    <cfRule type="containsText" dxfId="82" priority="122" stopIfTrue="1" operator="containsText" text="ne">
      <formula>NOT(ISERROR(SEARCH("ne",BN1)))</formula>
    </cfRule>
  </conditionalFormatting>
  <conditionalFormatting sqref="BL1 BL3:BL1048576">
    <cfRule type="containsText" dxfId="81" priority="121" stopIfTrue="1" operator="containsText" text="ne">
      <formula>NOT(ISERROR(SEARCH("ne",BL1)))</formula>
    </cfRule>
  </conditionalFormatting>
  <conditionalFormatting sqref="BD1:BD5 BD454:BD65536">
    <cfRule type="containsText" dxfId="80" priority="119" stopIfTrue="1" operator="containsText" text="ne">
      <formula>NOT(ISERROR(SEARCH("ne",BD1)))</formula>
    </cfRule>
  </conditionalFormatting>
  <conditionalFormatting sqref="BE1 BE454:BE65536 BE4:BE5 BC1:BC1048576">
    <cfRule type="containsText" dxfId="79" priority="118" stopIfTrue="1" operator="containsText" text="ne">
      <formula>NOT(ISERROR(SEARCH("ne",BC1)))</formula>
    </cfRule>
  </conditionalFormatting>
  <conditionalFormatting sqref="BG50">
    <cfRule type="containsText" dxfId="78" priority="115" stopIfTrue="1" operator="containsText" text="ano">
      <formula>NOT(ISERROR(SEARCH("ano",BG50)))</formula>
    </cfRule>
  </conditionalFormatting>
  <conditionalFormatting sqref="BI50">
    <cfRule type="containsText" dxfId="77" priority="113" stopIfTrue="1" operator="containsText" text="ano">
      <formula>NOT(ISERROR(SEARCH("ano",BI50)))</formula>
    </cfRule>
    <cfRule type="containsText" dxfId="76" priority="114" stopIfTrue="1" operator="containsText" text="ne">
      <formula>NOT(ISERROR(SEARCH("ne",BI50)))</formula>
    </cfRule>
  </conditionalFormatting>
  <conditionalFormatting sqref="BF1:BG1 BF454:BG65536 BG6:BG50 BG203:BG417 BG419:BG421 BG423:BG453 BF4:BG5 BG52:BG54 BG58:BG200">
    <cfRule type="containsText" dxfId="75" priority="110" stopIfTrue="1" operator="containsText" text="ne">
      <formula>NOT(ISERROR(SEARCH("ne",BF1)))</formula>
    </cfRule>
  </conditionalFormatting>
  <conditionalFormatting sqref="BG51">
    <cfRule type="containsText" dxfId="74" priority="107" stopIfTrue="1" operator="containsText" text="ano">
      <formula>NOT(ISERROR(SEARCH("ano",BG51)))</formula>
    </cfRule>
  </conditionalFormatting>
  <conditionalFormatting sqref="BI51">
    <cfRule type="containsText" dxfId="73" priority="105" stopIfTrue="1" operator="containsText" text="ano">
      <formula>NOT(ISERROR(SEARCH("ano",BI51)))</formula>
    </cfRule>
    <cfRule type="containsText" dxfId="72" priority="106" stopIfTrue="1" operator="containsText" text="ne">
      <formula>NOT(ISERROR(SEARCH("ne",BI51)))</formula>
    </cfRule>
  </conditionalFormatting>
  <conditionalFormatting sqref="BG51">
    <cfRule type="containsText" dxfId="71" priority="102" stopIfTrue="1" operator="containsText" text="ne">
      <formula>NOT(ISERROR(SEARCH("ne",BG51)))</formula>
    </cfRule>
  </conditionalFormatting>
  <conditionalFormatting sqref="BG55">
    <cfRule type="containsText" dxfId="70" priority="99" stopIfTrue="1" operator="containsText" text="ano">
      <formula>NOT(ISERROR(SEARCH("ano",BG55)))</formula>
    </cfRule>
  </conditionalFormatting>
  <conditionalFormatting sqref="BI55">
    <cfRule type="containsText" dxfId="69" priority="97" stopIfTrue="1" operator="containsText" text="ano">
      <formula>NOT(ISERROR(SEARCH("ano",BI55)))</formula>
    </cfRule>
    <cfRule type="containsText" dxfId="68" priority="98" stopIfTrue="1" operator="containsText" text="ne">
      <formula>NOT(ISERROR(SEARCH("ne",BI55)))</formula>
    </cfRule>
  </conditionalFormatting>
  <conditionalFormatting sqref="BG55">
    <cfRule type="containsText" dxfId="67" priority="94" stopIfTrue="1" operator="containsText" text="ne">
      <formula>NOT(ISERROR(SEARCH("ne",BG55)))</formula>
    </cfRule>
  </conditionalFormatting>
  <conditionalFormatting sqref="BG56">
    <cfRule type="containsText" dxfId="66" priority="91" stopIfTrue="1" operator="containsText" text="ano">
      <formula>NOT(ISERROR(SEARCH("ano",BG56)))</formula>
    </cfRule>
  </conditionalFormatting>
  <conditionalFormatting sqref="BI56">
    <cfRule type="containsText" dxfId="65" priority="89" stopIfTrue="1" operator="containsText" text="ano">
      <formula>NOT(ISERROR(SEARCH("ano",BI56)))</formula>
    </cfRule>
    <cfRule type="containsText" dxfId="64" priority="90" stopIfTrue="1" operator="containsText" text="ne">
      <formula>NOT(ISERROR(SEARCH("ne",BI56)))</formula>
    </cfRule>
  </conditionalFormatting>
  <conditionalFormatting sqref="BG56">
    <cfRule type="containsText" dxfId="63" priority="86" stopIfTrue="1" operator="containsText" text="ne">
      <formula>NOT(ISERROR(SEARCH("ne",BG56)))</formula>
    </cfRule>
  </conditionalFormatting>
  <conditionalFormatting sqref="BG57">
    <cfRule type="containsText" dxfId="62" priority="83" stopIfTrue="1" operator="containsText" text="ano">
      <formula>NOT(ISERROR(SEARCH("ano",BG57)))</formula>
    </cfRule>
  </conditionalFormatting>
  <conditionalFormatting sqref="BI57">
    <cfRule type="containsText" dxfId="61" priority="81" stopIfTrue="1" operator="containsText" text="ano">
      <formula>NOT(ISERROR(SEARCH("ano",BI57)))</formula>
    </cfRule>
    <cfRule type="containsText" dxfId="60" priority="82" stopIfTrue="1" operator="containsText" text="ne">
      <formula>NOT(ISERROR(SEARCH("ne",BI57)))</formula>
    </cfRule>
  </conditionalFormatting>
  <conditionalFormatting sqref="BG57">
    <cfRule type="containsText" dxfId="59" priority="78" stopIfTrue="1" operator="containsText" text="ne">
      <formula>NOT(ISERROR(SEARCH("ne",BG57)))</formula>
    </cfRule>
  </conditionalFormatting>
  <conditionalFormatting sqref="BG201">
    <cfRule type="containsText" dxfId="58" priority="74" stopIfTrue="1" operator="containsText" text="ano">
      <formula>NOT(ISERROR(SEARCH("ano",BG201)))</formula>
    </cfRule>
  </conditionalFormatting>
  <conditionalFormatting sqref="BI201">
    <cfRule type="containsText" dxfId="57" priority="72" stopIfTrue="1" operator="containsText" text="ano">
      <formula>NOT(ISERROR(SEARCH("ano",BI201)))</formula>
    </cfRule>
    <cfRule type="containsText" dxfId="56" priority="73" stopIfTrue="1" operator="containsText" text="ne">
      <formula>NOT(ISERROR(SEARCH("ne",BI201)))</formula>
    </cfRule>
  </conditionalFormatting>
  <conditionalFormatting sqref="BG201">
    <cfRule type="containsText" dxfId="55" priority="69" stopIfTrue="1" operator="containsText" text="ne">
      <formula>NOT(ISERROR(SEARCH("ne",BG201)))</formula>
    </cfRule>
  </conditionalFormatting>
  <conditionalFormatting sqref="BG202">
    <cfRule type="containsText" dxfId="54" priority="66" stopIfTrue="1" operator="containsText" text="ano">
      <formula>NOT(ISERROR(SEARCH("ano",BG202)))</formula>
    </cfRule>
  </conditionalFormatting>
  <conditionalFormatting sqref="BI202">
    <cfRule type="containsText" dxfId="53" priority="64" stopIfTrue="1" operator="containsText" text="ano">
      <formula>NOT(ISERROR(SEARCH("ano",BI202)))</formula>
    </cfRule>
    <cfRule type="containsText" dxfId="52" priority="65" stopIfTrue="1" operator="containsText" text="ne">
      <formula>NOT(ISERROR(SEARCH("ne",BI202)))</formula>
    </cfRule>
  </conditionalFormatting>
  <conditionalFormatting sqref="BG202">
    <cfRule type="containsText" dxfId="51" priority="61" stopIfTrue="1" operator="containsText" text="ne">
      <formula>NOT(ISERROR(SEARCH("ne",BG202)))</formula>
    </cfRule>
  </conditionalFormatting>
  <conditionalFormatting sqref="U6:AC453">
    <cfRule type="cellIs" dxfId="50" priority="31" stopIfTrue="1" operator="equal">
      <formula>0</formula>
    </cfRule>
  </conditionalFormatting>
  <conditionalFormatting sqref="BG418">
    <cfRule type="containsText" dxfId="49" priority="5" stopIfTrue="1" operator="containsText" text="ano">
      <formula>NOT(ISERROR(SEARCH("ano",BG418)))</formula>
    </cfRule>
  </conditionalFormatting>
  <conditionalFormatting sqref="BG418">
    <cfRule type="containsText" dxfId="48" priority="4" stopIfTrue="1" operator="containsText" text="ne">
      <formula>NOT(ISERROR(SEARCH("ne",BG418)))</formula>
    </cfRule>
  </conditionalFormatting>
  <conditionalFormatting sqref="BG422">
    <cfRule type="containsText" dxfId="47" priority="3" stopIfTrue="1" operator="containsText" text="ano">
      <formula>NOT(ISERROR(SEARCH("ano",BG422)))</formula>
    </cfRule>
  </conditionalFormatting>
  <conditionalFormatting sqref="BG422">
    <cfRule type="containsText" dxfId="46" priority="2" stopIfTrue="1" operator="containsText" text="ne">
      <formula>NOT(ISERROR(SEARCH("ne",BG422)))</formula>
    </cfRule>
  </conditionalFormatting>
  <conditionalFormatting sqref="BO1">
    <cfRule type="containsText" dxfId="45" priority="1" stopIfTrue="1" operator="containsText" text="ne">
      <formula>NOT(ISERROR(SEARCH("ne",BO1)))</formula>
    </cfRule>
  </conditionalFormatting>
  <conditionalFormatting sqref="AU6:AU453">
    <cfRule type="top10" dxfId="44" priority="509" stopIfTrue="1" rank="5"/>
    <cfRule type="top10" dxfId="43" priority="510" percent="1" rank="10"/>
    <cfRule type="top10" dxfId="42" priority="511" stopIfTrue="1" percent="1" rank="20"/>
    <cfRule type="top10" dxfId="41" priority="512" stopIfTrue="1" bottom="1" rank="5"/>
    <cfRule type="top10" dxfId="40" priority="513" percent="1" bottom="1" rank="10"/>
    <cfRule type="top10" dxfId="39" priority="514" stopIfTrue="1" percent="1" bottom="1" rank="20"/>
  </conditionalFormatting>
  <conditionalFormatting sqref="AV6:AV453">
    <cfRule type="top10" dxfId="38" priority="521" stopIfTrue="1" rank="5"/>
    <cfRule type="top10" dxfId="37" priority="522" percent="1" rank="10"/>
    <cfRule type="top10" dxfId="36" priority="523" stopIfTrue="1" percent="1" rank="20"/>
  </conditionalFormatting>
  <conditionalFormatting sqref="AQ6:AQ453">
    <cfRule type="top10" dxfId="35" priority="527" stopIfTrue="1" bottom="1" rank="5"/>
    <cfRule type="top10" dxfId="34" priority="528" percent="1" bottom="1" rank="10"/>
    <cfRule type="top10" dxfId="33" priority="529" stopIfTrue="1" percent="1" bottom="1" rank="20"/>
    <cfRule type="top10" dxfId="32" priority="530" stopIfTrue="1" rank="5"/>
    <cfRule type="top10" dxfId="31" priority="531" percent="1" rank="10"/>
    <cfRule type="top10" dxfId="30" priority="532" stopIfTrue="1" percent="1" rank="20"/>
  </conditionalFormatting>
  <conditionalFormatting sqref="AS6:AS453">
    <cfRule type="top10" dxfId="29" priority="539" stopIfTrue="1" bottom="1" rank="5"/>
    <cfRule type="top10" dxfId="28" priority="540" percent="1" bottom="1" rank="10"/>
    <cfRule type="top10" dxfId="27" priority="541" stopIfTrue="1" percent="1" bottom="1" rank="20"/>
    <cfRule type="top10" dxfId="26" priority="542" stopIfTrue="1" rank="5"/>
    <cfRule type="top10" dxfId="25" priority="543" percent="1" rank="10"/>
    <cfRule type="top10" dxfId="24" priority="544" stopIfTrue="1" percent="1" rank="20"/>
  </conditionalFormatting>
  <conditionalFormatting sqref="AE6:AE453">
    <cfRule type="top10" dxfId="23" priority="551" stopIfTrue="1" rank="5"/>
    <cfRule type="top10" dxfId="22" priority="552" stopIfTrue="1" percent="1" bottom="1" rank="25"/>
    <cfRule type="top10" dxfId="21" priority="553" stopIfTrue="1" rank="45"/>
  </conditionalFormatting>
  <conditionalFormatting sqref="AD6:AD453">
    <cfRule type="top10" dxfId="20" priority="557" stopIfTrue="1" percent="1" bottom="1" rank="10"/>
  </conditionalFormatting>
  <conditionalFormatting sqref="AH6:AH453">
    <cfRule type="top10" dxfId="19" priority="559" stopIfTrue="1" rank="5"/>
    <cfRule type="top10" dxfId="18" priority="560" rank="45"/>
    <cfRule type="top10" dxfId="17" priority="561" stopIfTrue="1" percent="1" bottom="1" rank="10"/>
  </conditionalFormatting>
  <conditionalFormatting sqref="AG6:AG453">
    <cfRule type="top10" dxfId="16" priority="565" stopIfTrue="1" rank="5"/>
    <cfRule type="top10" dxfId="15" priority="566" rank="45"/>
    <cfRule type="top10" dxfId="14" priority="567" stopIfTrue="1" percent="1" rank="20"/>
    <cfRule type="top10" dxfId="13" priority="568" stopIfTrue="1" percent="1" bottom="1" rank="10"/>
  </conditionalFormatting>
  <conditionalFormatting sqref="AF6:AF453">
    <cfRule type="top10" dxfId="12" priority="573" stopIfTrue="1" percent="1" bottom="1" rank="10"/>
  </conditionalFormatting>
  <conditionalFormatting sqref="AW6:AW453">
    <cfRule type="top10" dxfId="11" priority="575" stopIfTrue="1" rank="5"/>
    <cfRule type="top10" dxfId="10" priority="576" percent="1" rank="10"/>
    <cfRule type="top10" dxfId="9" priority="577" stopIfTrue="1" percent="1" rank="20"/>
    <cfRule type="top10" dxfId="8" priority="578" stopIfTrue="1" bottom="1" rank="5"/>
    <cfRule type="top10" dxfId="7" priority="579" percent="1" bottom="1" rank="10"/>
    <cfRule type="top10" dxfId="6" priority="580" percent="1" bottom="1" rank="20"/>
  </conditionalFormatting>
  <conditionalFormatting sqref="AX6:AX453">
    <cfRule type="top10" dxfId="5" priority="587" stopIfTrue="1" rank="5"/>
    <cfRule type="top10" dxfId="4" priority="588" percent="1" rank="10"/>
    <cfRule type="top10" dxfId="3" priority="589" stopIfTrue="1" percent="1" rank="20"/>
    <cfRule type="cellIs" dxfId="2" priority="590" stopIfTrue="1" operator="equal">
      <formula>0</formula>
    </cfRule>
    <cfRule type="top10" dxfId="1" priority="591" percent="1" bottom="1" rank="10"/>
    <cfRule type="top10" dxfId="0" priority="592" stopIfTrue="1" percent="1" bottom="1" rank="20"/>
  </conditionalFormatting>
  <hyperlinks>
    <hyperlink ref="J233" r:id="rId1"/>
    <hyperlink ref="K233" r:id="rId2"/>
    <hyperlink ref="J146" r:id="rId3"/>
    <hyperlink ref="O292" r:id="rId4" display="mailto:zdenka.seidelova@prepychy.cz"/>
    <hyperlink ref="O175" r:id="rId5"/>
    <hyperlink ref="K175" r:id="rId6"/>
    <hyperlink ref="K146" r:id="rId7"/>
    <hyperlink ref="O146" r:id="rId8"/>
    <hyperlink ref="J175" r:id="rId9"/>
    <hyperlink ref="K344" r:id="rId10"/>
    <hyperlink ref="O344" r:id="rId11"/>
    <hyperlink ref="J12" r:id="rId12"/>
    <hyperlink ref="O12" r:id="rId13"/>
    <hyperlink ref="K12" r:id="rId14"/>
    <hyperlink ref="K288" r:id="rId15"/>
    <hyperlink ref="J288" r:id="rId16"/>
    <hyperlink ref="O288" r:id="rId17"/>
    <hyperlink ref="J292" r:id="rId18"/>
    <hyperlink ref="K292" r:id="rId19"/>
    <hyperlink ref="O128" r:id="rId20"/>
    <hyperlink ref="J128" r:id="rId21"/>
    <hyperlink ref="K128" r:id="rId22"/>
    <hyperlink ref="K77" r:id="rId23"/>
    <hyperlink ref="K234" r:id="rId24"/>
    <hyperlink ref="J317" r:id="rId25"/>
    <hyperlink ref="K317" r:id="rId26"/>
    <hyperlink ref="O124" r:id="rId27"/>
    <hyperlink ref="J124" r:id="rId28"/>
    <hyperlink ref="K124" r:id="rId29"/>
    <hyperlink ref="J183" r:id="rId30"/>
    <hyperlink ref="O183" r:id="rId31"/>
    <hyperlink ref="J446" r:id="rId32"/>
    <hyperlink ref="K446" r:id="rId33"/>
    <hyperlink ref="O446" r:id="rId34"/>
    <hyperlink ref="K7" r:id="rId35"/>
    <hyperlink ref="K8" r:id="rId36"/>
    <hyperlink ref="K11" r:id="rId37"/>
    <hyperlink ref="K16" r:id="rId38"/>
    <hyperlink ref="O17" r:id="rId39"/>
    <hyperlink ref="O24" r:id="rId40"/>
    <hyperlink ref="K26" r:id="rId41"/>
    <hyperlink ref="O55" r:id="rId42"/>
    <hyperlink ref="K56" r:id="rId43"/>
    <hyperlink ref="K67" r:id="rId44"/>
    <hyperlink ref="K71" r:id="rId45"/>
    <hyperlink ref="K76" r:id="rId46"/>
    <hyperlink ref="K86" r:id="rId47"/>
    <hyperlink ref="K93" r:id="rId48"/>
    <hyperlink ref="K99" r:id="rId49"/>
    <hyperlink ref="O100" r:id="rId50"/>
    <hyperlink ref="K102" r:id="rId51"/>
    <hyperlink ref="K112" r:id="rId52"/>
    <hyperlink ref="O114" r:id="rId53"/>
    <hyperlink ref="K115" r:id="rId54"/>
    <hyperlink ref="K119" r:id="rId55"/>
    <hyperlink ref="K120" r:id="rId56"/>
    <hyperlink ref="K130" r:id="rId57"/>
    <hyperlink ref="K140" r:id="rId58"/>
    <hyperlink ref="K150" r:id="rId59"/>
    <hyperlink ref="K152" r:id="rId60"/>
    <hyperlink ref="K155" r:id="rId61"/>
    <hyperlink ref="K160" r:id="rId62"/>
    <hyperlink ref="K161" r:id="rId63"/>
    <hyperlink ref="K168" r:id="rId64"/>
    <hyperlink ref="O172" r:id="rId65"/>
    <hyperlink ref="K176" r:id="rId66"/>
    <hyperlink ref="K184" r:id="rId67"/>
    <hyperlink ref="K185" r:id="rId68"/>
    <hyperlink ref="K187" r:id="rId69"/>
    <hyperlink ref="J187" r:id="rId70"/>
    <hyperlink ref="O190" r:id="rId71"/>
    <hyperlink ref="O195" r:id="rId72"/>
    <hyperlink ref="K198" r:id="rId73"/>
    <hyperlink ref="K199" r:id="rId74"/>
    <hyperlink ref="K204" r:id="rId75"/>
    <hyperlink ref="K207" r:id="rId76"/>
    <hyperlink ref="K208" r:id="rId77"/>
    <hyperlink ref="O209" r:id="rId78"/>
    <hyperlink ref="K213" r:id="rId79"/>
    <hyperlink ref="O215" r:id="rId80"/>
    <hyperlink ref="K222" r:id="rId81"/>
    <hyperlink ref="K223" r:id="rId82"/>
    <hyperlink ref="K232" r:id="rId83"/>
    <hyperlink ref="O421" r:id="rId84"/>
    <hyperlink ref="K236" r:id="rId85"/>
    <hyperlink ref="K237" r:id="rId86"/>
    <hyperlink ref="K240" r:id="rId87"/>
    <hyperlink ref="O241" r:id="rId88"/>
    <hyperlink ref="K248" r:id="rId89"/>
    <hyperlink ref="O250" r:id="rId90"/>
    <hyperlink ref="K253" r:id="rId91"/>
    <hyperlink ref="K258" r:id="rId92"/>
    <hyperlink ref="K259" r:id="rId93"/>
    <hyperlink ref="K266" r:id="rId94"/>
    <hyperlink ref="K267" r:id="rId95"/>
    <hyperlink ref="K274" r:id="rId96"/>
    <hyperlink ref="K277" r:id="rId97" display="obec.pisek@tiscali.cz"/>
    <hyperlink ref="K286" r:id="rId98"/>
    <hyperlink ref="K291" r:id="rId99"/>
    <hyperlink ref="K293" r:id="rId100"/>
    <hyperlink ref="K295" r:id="rId101"/>
    <hyperlink ref="K296" r:id="rId102"/>
    <hyperlink ref="K297" r:id="rId103"/>
    <hyperlink ref="K298" r:id="rId104"/>
    <hyperlink ref="K300" r:id="rId105"/>
    <hyperlink ref="K308" r:id="rId106"/>
    <hyperlink ref="K325" r:id="rId107"/>
    <hyperlink ref="K326" r:id="rId108"/>
    <hyperlink ref="K327" r:id="rId109" display="skrivany@skrivany.cz"/>
    <hyperlink ref="K335" r:id="rId110"/>
    <hyperlink ref="O336" r:id="rId111"/>
    <hyperlink ref="O337" r:id="rId112"/>
    <hyperlink ref="K338" r:id="rId113"/>
    <hyperlink ref="O347" r:id="rId114"/>
    <hyperlink ref="K353" r:id="rId115"/>
    <hyperlink ref="K354" r:id="rId116"/>
    <hyperlink ref="O355" r:id="rId117"/>
    <hyperlink ref="K358" r:id="rId118"/>
    <hyperlink ref="K364" r:id="rId119"/>
    <hyperlink ref="K368" r:id="rId120"/>
    <hyperlink ref="K369" r:id="rId121"/>
    <hyperlink ref="K374" r:id="rId122"/>
    <hyperlink ref="O380" r:id="rId123"/>
    <hyperlink ref="K384" r:id="rId124"/>
    <hyperlink ref="K395" r:id="rId125" display="urbanice@urbanice.cz"/>
    <hyperlink ref="K411" r:id="rId126"/>
    <hyperlink ref="O422" r:id="rId127"/>
    <hyperlink ref="K426" r:id="rId128"/>
    <hyperlink ref="K427" r:id="rId129"/>
    <hyperlink ref="O428" r:id="rId130"/>
    <hyperlink ref="K432" r:id="rId131"/>
    <hyperlink ref="K435" r:id="rId132"/>
    <hyperlink ref="K439" r:id="rId133"/>
    <hyperlink ref="K9" r:id="rId134"/>
    <hyperlink ref="K13" r:id="rId135"/>
    <hyperlink ref="K15" r:id="rId136"/>
    <hyperlink ref="K22" r:id="rId137"/>
    <hyperlink ref="O25" r:id="rId138"/>
    <hyperlink ref="K30" r:id="rId139"/>
    <hyperlink ref="K37" r:id="rId140"/>
    <hyperlink ref="K40" r:id="rId141"/>
    <hyperlink ref="K41" r:id="rId142"/>
    <hyperlink ref="K42" r:id="rId143"/>
    <hyperlink ref="K47" r:id="rId144"/>
    <hyperlink ref="O49" r:id="rId145"/>
    <hyperlink ref="K59" r:id="rId146"/>
    <hyperlink ref="K66" r:id="rId147"/>
    <hyperlink ref="K69" r:id="rId148"/>
    <hyperlink ref="O70" r:id="rId149"/>
    <hyperlink ref="K72" r:id="rId150"/>
    <hyperlink ref="K84" r:id="rId151" display="dolni.lochov@gmail.com"/>
    <hyperlink ref="K90" r:id="rId152"/>
    <hyperlink ref="K101" r:id="rId153"/>
    <hyperlink ref="O110" r:id="rId154"/>
    <hyperlink ref="K103" r:id="rId155"/>
    <hyperlink ref="O103" r:id="rId156"/>
    <hyperlink ref="K125" r:id="rId157"/>
    <hyperlink ref="O126" r:id="rId158"/>
    <hyperlink ref="K127" r:id="rId159"/>
    <hyperlink ref="K133" r:id="rId160"/>
    <hyperlink ref="K141" r:id="rId161"/>
    <hyperlink ref="J141" r:id="rId162"/>
    <hyperlink ref="O144" r:id="rId163"/>
    <hyperlink ref="K145" r:id="rId164"/>
    <hyperlink ref="K147" r:id="rId165"/>
    <hyperlink ref="K149" r:id="rId166"/>
    <hyperlink ref="K151" r:id="rId167"/>
    <hyperlink ref="K154" r:id="rId168"/>
    <hyperlink ref="K158" r:id="rId169"/>
    <hyperlink ref="K159" r:id="rId170"/>
    <hyperlink ref="K162" r:id="rId171"/>
    <hyperlink ref="K166" r:id="rId172"/>
    <hyperlink ref="K167" r:id="rId173"/>
    <hyperlink ref="K179" r:id="rId174"/>
    <hyperlink ref="O189" r:id="rId175"/>
    <hyperlink ref="K196" r:id="rId176"/>
    <hyperlink ref="O200" r:id="rId177"/>
    <hyperlink ref="K203" r:id="rId178"/>
    <hyperlink ref="O210" r:id="rId179"/>
    <hyperlink ref="K214" r:id="rId180"/>
    <hyperlink ref="K219" r:id="rId181"/>
    <hyperlink ref="O227" r:id="rId182"/>
    <hyperlink ref="O228" r:id="rId183"/>
    <hyperlink ref="K230" r:id="rId184"/>
    <hyperlink ref="K231" r:id="rId185"/>
    <hyperlink ref="K243" r:id="rId186"/>
    <hyperlink ref="K245" r:id="rId187"/>
    <hyperlink ref="O246" r:id="rId188"/>
    <hyperlink ref="K255" r:id="rId189"/>
    <hyperlink ref="K256" r:id="rId190"/>
    <hyperlink ref="K268" r:id="rId191"/>
    <hyperlink ref="K269" r:id="rId192"/>
    <hyperlink ref="K272" r:id="rId193"/>
    <hyperlink ref="K275" r:id="rId194"/>
    <hyperlink ref="K279" r:id="rId195"/>
    <hyperlink ref="K280" r:id="rId196"/>
    <hyperlink ref="O281" r:id="rId197"/>
    <hyperlink ref="K299" r:id="rId198"/>
    <hyperlink ref="K303" r:id="rId199"/>
    <hyperlink ref="O305" r:id="rId200"/>
    <hyperlink ref="K306" r:id="rId201"/>
    <hyperlink ref="K318" r:id="rId202"/>
    <hyperlink ref="K319" r:id="rId203"/>
    <hyperlink ref="O320" r:id="rId204"/>
    <hyperlink ref="O322" r:id="rId205"/>
    <hyperlink ref="K331" r:id="rId206"/>
    <hyperlink ref="K333" r:id="rId207"/>
    <hyperlink ref="K340" r:id="rId208"/>
    <hyperlink ref="K341" r:id="rId209"/>
    <hyperlink ref="O342" r:id="rId210"/>
    <hyperlink ref="O346" r:id="rId211"/>
    <hyperlink ref="K349" r:id="rId212"/>
    <hyperlink ref="K350" r:id="rId213"/>
    <hyperlink ref="K357" r:id="rId214"/>
    <hyperlink ref="K362" r:id="rId215"/>
    <hyperlink ref="K363" r:id="rId216"/>
    <hyperlink ref="K370" r:id="rId217"/>
    <hyperlink ref="K376" r:id="rId218"/>
    <hyperlink ref="K383" r:id="rId219"/>
    <hyperlink ref="K385" r:id="rId220"/>
    <hyperlink ref="K386" r:id="rId221"/>
    <hyperlink ref="K389" r:id="rId222"/>
    <hyperlink ref="K390" r:id="rId223"/>
    <hyperlink ref="K391" r:id="rId224"/>
    <hyperlink ref="K392" r:id="rId225"/>
    <hyperlink ref="K393" r:id="rId226"/>
    <hyperlink ref="O397" r:id="rId227"/>
    <hyperlink ref="K400" r:id="rId228"/>
    <hyperlink ref="O409" r:id="rId229"/>
    <hyperlink ref="K413" r:id="rId230"/>
    <hyperlink ref="K418" r:id="rId231"/>
    <hyperlink ref="K419" r:id="rId232"/>
    <hyperlink ref="K423" r:id="rId233"/>
    <hyperlink ref="K425" r:id="rId234"/>
    <hyperlink ref="K438" r:id="rId235"/>
    <hyperlink ref="K449" r:id="rId236"/>
    <hyperlink ref="K450" r:id="rId237"/>
    <hyperlink ref="K452" r:id="rId238"/>
    <hyperlink ref="J453" r:id="rId239"/>
    <hyperlink ref="K453" r:id="rId240"/>
    <hyperlink ref="J63" r:id="rId241"/>
    <hyperlink ref="O63" r:id="rId242"/>
    <hyperlink ref="K63" r:id="rId243"/>
    <hyperlink ref="O31" r:id="rId244"/>
    <hyperlink ref="J307" r:id="rId245"/>
    <hyperlink ref="K307" r:id="rId246"/>
    <hyperlink ref="O307" r:id="rId247"/>
    <hyperlink ref="K6" r:id="rId248"/>
    <hyperlink ref="K19" r:id="rId249"/>
    <hyperlink ref="O28" r:id="rId250"/>
    <hyperlink ref="K32" r:id="rId251"/>
    <hyperlink ref="O36" r:id="rId252"/>
    <hyperlink ref="O38" r:id="rId253"/>
    <hyperlink ref="O39" r:id="rId254"/>
    <hyperlink ref="O43" r:id="rId255"/>
    <hyperlink ref="K53" r:id="rId256"/>
    <hyperlink ref="K58" r:id="rId257"/>
    <hyperlink ref="O60" r:id="rId258"/>
    <hyperlink ref="O61" r:id="rId259"/>
    <hyperlink ref="O62" r:id="rId260"/>
    <hyperlink ref="K78" r:id="rId261"/>
    <hyperlink ref="K87" r:id="rId262"/>
    <hyperlink ref="O96" r:id="rId263"/>
    <hyperlink ref="K97" r:id="rId264"/>
    <hyperlink ref="K98" r:id="rId265"/>
    <hyperlink ref="O108" r:id="rId266"/>
    <hyperlink ref="K108" r:id="rId267"/>
    <hyperlink ref="K109" r:id="rId268"/>
    <hyperlink ref="K111" r:id="rId269"/>
    <hyperlink ref="O116" r:id="rId270"/>
    <hyperlink ref="K121" r:id="rId271"/>
    <hyperlink ref="K132" r:id="rId272"/>
    <hyperlink ref="O137" r:id="rId273"/>
    <hyperlink ref="K138" r:id="rId274"/>
    <hyperlink ref="K142" r:id="rId275"/>
    <hyperlink ref="K143" r:id="rId276"/>
    <hyperlink ref="K171" r:id="rId277"/>
    <hyperlink ref="K174" r:id="rId278"/>
    <hyperlink ref="K186" r:id="rId279"/>
    <hyperlink ref="O206" r:id="rId280"/>
    <hyperlink ref="O216" r:id="rId281"/>
    <hyperlink ref="K221" r:id="rId282" display="obec@martinkovice.cz"/>
    <hyperlink ref="K224" r:id="rId283"/>
    <hyperlink ref="O225" r:id="rId284"/>
    <hyperlink ref="O226" r:id="rId285"/>
    <hyperlink ref="K238" r:id="rId286"/>
    <hyperlink ref="O238" r:id="rId287"/>
    <hyperlink ref="O239" r:id="rId288"/>
    <hyperlink ref="O249" r:id="rId289"/>
    <hyperlink ref="O251" r:id="rId290"/>
    <hyperlink ref="K252" r:id="rId291"/>
    <hyperlink ref="O270" r:id="rId292"/>
    <hyperlink ref="K270" r:id="rId293"/>
    <hyperlink ref="O283" r:id="rId294"/>
    <hyperlink ref="O290" r:id="rId295"/>
    <hyperlink ref="K294" r:id="rId296"/>
    <hyperlink ref="K302" r:id="rId297"/>
    <hyperlink ref="K309" r:id="rId298"/>
    <hyperlink ref="K314" r:id="rId299"/>
    <hyperlink ref="K316" r:id="rId300"/>
    <hyperlink ref="K324" r:id="rId301"/>
    <hyperlink ref="O329" r:id="rId302"/>
    <hyperlink ref="K332" r:id="rId303"/>
    <hyperlink ref="K334" r:id="rId304"/>
    <hyperlink ref="O352" r:id="rId305"/>
    <hyperlink ref="O359" r:id="rId306"/>
    <hyperlink ref="K361" r:id="rId307"/>
    <hyperlink ref="K371" r:id="rId308"/>
    <hyperlink ref="O372" r:id="rId309"/>
    <hyperlink ref="O375" r:id="rId310"/>
    <hyperlink ref="K399" r:id="rId311"/>
    <hyperlink ref="O401" r:id="rId312"/>
    <hyperlink ref="K402" r:id="rId313"/>
    <hyperlink ref="O403" r:id="rId314"/>
    <hyperlink ref="O405" r:id="rId315"/>
    <hyperlink ref="K407" r:id="rId316"/>
    <hyperlink ref="K416" r:id="rId317"/>
    <hyperlink ref="O424" r:id="rId318"/>
    <hyperlink ref="O429" r:id="rId319"/>
    <hyperlink ref="K431" r:id="rId320"/>
    <hyperlink ref="K433" r:id="rId321"/>
    <hyperlink ref="K436" r:id="rId322"/>
    <hyperlink ref="K448" r:id="rId323"/>
    <hyperlink ref="K451" r:id="rId324"/>
    <hyperlink ref="K10" r:id="rId325"/>
    <hyperlink ref="K23" r:id="rId326"/>
    <hyperlink ref="K27" r:id="rId327"/>
    <hyperlink ref="O29" r:id="rId328"/>
    <hyperlink ref="K33" r:id="rId329"/>
    <hyperlink ref="K46" r:id="rId330"/>
    <hyperlink ref="K48" r:id="rId331"/>
    <hyperlink ref="O50" r:id="rId332"/>
    <hyperlink ref="K52" r:id="rId333"/>
    <hyperlink ref="O52" r:id="rId334"/>
    <hyperlink ref="K54" r:id="rId335"/>
    <hyperlink ref="K64" r:id="rId336"/>
    <hyperlink ref="K65" r:id="rId337"/>
    <hyperlink ref="K68" r:id="rId338"/>
    <hyperlink ref="O68" r:id="rId339"/>
    <hyperlink ref="K73" r:id="rId340"/>
    <hyperlink ref="O74" r:id="rId341"/>
    <hyperlink ref="K75" r:id="rId342"/>
    <hyperlink ref="O89" r:id="rId343"/>
    <hyperlink ref="K117" r:id="rId344"/>
    <hyperlink ref="K122" r:id="rId345"/>
    <hyperlink ref="K123" r:id="rId346"/>
    <hyperlink ref="K134" r:id="rId347"/>
    <hyperlink ref="K135" r:id="rId348"/>
    <hyperlink ref="O139" r:id="rId349"/>
    <hyperlink ref="O163" r:id="rId350"/>
    <hyperlink ref="K164" r:id="rId351"/>
    <hyperlink ref="K165" r:id="rId352"/>
    <hyperlink ref="K169" r:id="rId353"/>
    <hyperlink ref="O173" r:id="rId354"/>
    <hyperlink ref="O178" r:id="rId355"/>
    <hyperlink ref="K188" r:id="rId356"/>
    <hyperlink ref="K191" r:id="rId357"/>
    <hyperlink ref="K192" r:id="rId358"/>
    <hyperlink ref="K201" r:id="rId359"/>
    <hyperlink ref="O202" r:id="rId360"/>
    <hyperlink ref="K211" r:id="rId361"/>
    <hyperlink ref="K212" r:id="rId362"/>
    <hyperlink ref="K247" r:id="rId363"/>
    <hyperlink ref="K254" r:id="rId364"/>
    <hyperlink ref="K257" r:id="rId365"/>
    <hyperlink ref="K260" r:id="rId366"/>
    <hyperlink ref="K261" r:id="rId367"/>
    <hyperlink ref="O262" r:id="rId368"/>
    <hyperlink ref="K263" r:id="rId369"/>
    <hyperlink ref="O273" r:id="rId370"/>
    <hyperlink ref="O278" r:id="rId371"/>
    <hyperlink ref="K282" r:id="rId372"/>
    <hyperlink ref="O284" r:id="rId373"/>
    <hyperlink ref="O285" r:id="rId374"/>
    <hyperlink ref="K312" r:id="rId375"/>
    <hyperlink ref="O313" r:id="rId376"/>
    <hyperlink ref="K315" r:id="rId377"/>
    <hyperlink ref="K321" r:id="rId378"/>
    <hyperlink ref="K323" r:id="rId379"/>
    <hyperlink ref="K328" r:id="rId380"/>
    <hyperlink ref="O330" r:id="rId381"/>
    <hyperlink ref="K339" r:id="rId382"/>
    <hyperlink ref="K343" r:id="rId383"/>
    <hyperlink ref="K365" r:id="rId384"/>
    <hyperlink ref="O367" r:id="rId385"/>
    <hyperlink ref="K377" r:id="rId386"/>
    <hyperlink ref="K381" r:id="rId387"/>
    <hyperlink ref="O387" r:id="rId388"/>
    <hyperlink ref="O388" r:id="rId389"/>
    <hyperlink ref="K396" r:id="rId390"/>
    <hyperlink ref="O398" r:id="rId391"/>
    <hyperlink ref="K417" r:id="rId392"/>
    <hyperlink ref="K420" r:id="rId393"/>
    <hyperlink ref="K437" r:id="rId394"/>
    <hyperlink ref="K440" r:id="rId395"/>
    <hyperlink ref="O442" r:id="rId396"/>
    <hyperlink ref="K447" r:id="rId397"/>
    <hyperlink ref="K14" r:id="rId398"/>
    <hyperlink ref="O18" r:id="rId399"/>
    <hyperlink ref="O20" r:id="rId400"/>
    <hyperlink ref="O21" r:id="rId401"/>
    <hyperlink ref="K34" r:id="rId402"/>
    <hyperlink ref="K35" r:id="rId403"/>
    <hyperlink ref="K51" r:id="rId404"/>
    <hyperlink ref="O57" r:id="rId405"/>
    <hyperlink ref="O79" r:id="rId406"/>
    <hyperlink ref="K80" r:id="rId407"/>
    <hyperlink ref="O81" r:id="rId408"/>
    <hyperlink ref="O82" r:id="rId409"/>
    <hyperlink ref="O83" r:id="rId410"/>
    <hyperlink ref="K85" r:id="rId411"/>
    <hyperlink ref="O91" r:id="rId412"/>
    <hyperlink ref="K88" r:id="rId413"/>
    <hyperlink ref="O92" r:id="rId414"/>
    <hyperlink ref="K94" r:id="rId415"/>
    <hyperlink ref="O95" r:id="rId416"/>
    <hyperlink ref="K104" r:id="rId417"/>
    <hyperlink ref="K105" r:id="rId418"/>
    <hyperlink ref="O106" r:id="rId419"/>
    <hyperlink ref="O107" r:id="rId420"/>
    <hyperlink ref="K107" r:id="rId421"/>
    <hyperlink ref="K113" r:id="rId422"/>
    <hyperlink ref="O118" r:id="rId423"/>
    <hyperlink ref="K129" r:id="rId424"/>
    <hyperlink ref="O131" r:id="rId425"/>
    <hyperlink ref="O136" r:id="rId426"/>
    <hyperlink ref="K148" r:id="rId427"/>
    <hyperlink ref="K153" r:id="rId428"/>
    <hyperlink ref="O156" r:id="rId429"/>
    <hyperlink ref="K157" r:id="rId430"/>
    <hyperlink ref="K177" r:id="rId431"/>
    <hyperlink ref="K180" r:id="rId432"/>
    <hyperlink ref="O181" r:id="rId433"/>
    <hyperlink ref="K182" r:id="rId434"/>
    <hyperlink ref="K194" r:id="rId435"/>
    <hyperlink ref="K197" r:id="rId436"/>
    <hyperlink ref="K205" r:id="rId437"/>
    <hyperlink ref="O217" r:id="rId438"/>
    <hyperlink ref="O218" r:id="rId439"/>
    <hyperlink ref="K220" r:id="rId440"/>
    <hyperlink ref="O229" r:id="rId441"/>
    <hyperlink ref="O235" r:id="rId442"/>
    <hyperlink ref="O242" r:id="rId443"/>
    <hyperlink ref="O271" r:id="rId444"/>
    <hyperlink ref="O276" r:id="rId445"/>
    <hyperlink ref="K289" r:id="rId446"/>
    <hyperlink ref="K301" r:id="rId447"/>
    <hyperlink ref="O310" r:id="rId448"/>
    <hyperlink ref="O311" r:id="rId449"/>
    <hyperlink ref="K345" r:id="rId450"/>
    <hyperlink ref="O348" r:id="rId451"/>
    <hyperlink ref="O356" r:id="rId452"/>
    <hyperlink ref="O360" r:id="rId453"/>
    <hyperlink ref="O366" r:id="rId454"/>
    <hyperlink ref="O373" r:id="rId455"/>
    <hyperlink ref="K378" r:id="rId456"/>
    <hyperlink ref="O379" r:id="rId457"/>
    <hyperlink ref="K382" r:id="rId458"/>
    <hyperlink ref="O394" r:id="rId459"/>
    <hyperlink ref="O406" r:id="rId460"/>
    <hyperlink ref="K410" r:id="rId461"/>
    <hyperlink ref="O412" r:id="rId462"/>
    <hyperlink ref="O414" r:id="rId463"/>
    <hyperlink ref="O415" r:id="rId464"/>
    <hyperlink ref="O434" r:id="rId465"/>
    <hyperlink ref="K441" r:id="rId466"/>
    <hyperlink ref="O445" r:id="rId467"/>
    <hyperlink ref="K170" r:id="rId468"/>
    <hyperlink ref="J261" r:id="rId469"/>
    <hyperlink ref="J6" r:id="rId470"/>
    <hyperlink ref="J7" r:id="rId471"/>
    <hyperlink ref="J8" r:id="rId472"/>
    <hyperlink ref="J9" r:id="rId473"/>
    <hyperlink ref="J10" r:id="rId474"/>
    <hyperlink ref="J11" r:id="rId475"/>
    <hyperlink ref="J13" r:id="rId476"/>
    <hyperlink ref="J14" r:id="rId477"/>
    <hyperlink ref="J15" r:id="rId478"/>
    <hyperlink ref="J16" r:id="rId479"/>
    <hyperlink ref="J17" r:id="rId480"/>
    <hyperlink ref="K17" r:id="rId481"/>
    <hyperlink ref="J18" r:id="rId482"/>
    <hyperlink ref="K18" r:id="rId483"/>
    <hyperlink ref="J19" r:id="rId484"/>
    <hyperlink ref="O19" r:id="rId485"/>
    <hyperlink ref="K20" r:id="rId486"/>
    <hyperlink ref="J20" r:id="rId487"/>
    <hyperlink ref="K21" r:id="rId488"/>
    <hyperlink ref="J21" r:id="rId489"/>
    <hyperlink ref="J22" r:id="rId490"/>
    <hyperlink ref="J23" r:id="rId491"/>
    <hyperlink ref="K24" r:id="rId492" display="mailto:blesno@blesno.cz"/>
    <hyperlink ref="J24" r:id="rId493"/>
    <hyperlink ref="K25" r:id="rId494" display="mailto:ou@bohanka.org"/>
    <hyperlink ref="J25" r:id="rId495"/>
    <hyperlink ref="J26" r:id="rId496"/>
    <hyperlink ref="O27" r:id="rId497"/>
    <hyperlink ref="J27" r:id="rId498"/>
    <hyperlink ref="K28" r:id="rId499" display="mailto:podatelna@bohuslavice.com"/>
    <hyperlink ref="J28" r:id="rId500"/>
    <hyperlink ref="J29" r:id="rId501"/>
    <hyperlink ref="J30" r:id="rId502"/>
    <hyperlink ref="K31" r:id="rId503"/>
    <hyperlink ref="J31" r:id="rId504"/>
    <hyperlink ref="J32" r:id="rId505"/>
    <hyperlink ref="J33" r:id="rId506"/>
    <hyperlink ref="O34" r:id="rId507"/>
    <hyperlink ref="J34" r:id="rId508"/>
    <hyperlink ref="J35" r:id="rId509"/>
    <hyperlink ref="K36" r:id="rId510"/>
    <hyperlink ref="J36" r:id="rId511"/>
    <hyperlink ref="J37" r:id="rId512"/>
    <hyperlink ref="K38" r:id="rId513"/>
    <hyperlink ref="J38" r:id="rId514"/>
    <hyperlink ref="K39" r:id="rId515" display="mailto:obec@brzice.cz"/>
    <hyperlink ref="J39" r:id="rId516"/>
    <hyperlink ref="J40" r:id="rId517"/>
    <hyperlink ref="J41" r:id="rId518"/>
    <hyperlink ref="J42" r:id="rId519"/>
    <hyperlink ref="K43" r:id="rId520" display="mailto:obec.bukovice@iol.cz"/>
    <hyperlink ref="J43" r:id="rId521"/>
    <hyperlink ref="O44" r:id="rId522"/>
    <hyperlink ref="K44" r:id="rId523" display="mailto:info@obecbukvice.cz"/>
    <hyperlink ref="J44" r:id="rId524"/>
    <hyperlink ref="J45" r:id="rId525"/>
    <hyperlink ref="J46" r:id="rId526"/>
    <hyperlink ref="J47" r:id="rId527"/>
    <hyperlink ref="J48" r:id="rId528"/>
    <hyperlink ref="K49" r:id="rId529" display="mailto:ou@cerekvice.cz"/>
    <hyperlink ref="J49" r:id="rId530"/>
    <hyperlink ref="K50" r:id="rId531" display="mailto:e-podatelna@ou-castolovice.cz"/>
    <hyperlink ref="J50" r:id="rId532"/>
    <hyperlink ref="J51" r:id="rId533"/>
    <hyperlink ref="J52" r:id="rId534"/>
    <hyperlink ref="J53" r:id="rId535"/>
    <hyperlink ref="J54" r:id="rId536"/>
    <hyperlink ref="K55" r:id="rId537" display="mailto:cernilov@iol.cz"/>
    <hyperlink ref="J55" r:id="rId538"/>
    <hyperlink ref="J56" r:id="rId539"/>
    <hyperlink ref="K57" r:id="rId540" display="mailto:podatelna@cernydul.cz"/>
    <hyperlink ref="J57" r:id="rId541"/>
    <hyperlink ref="O58" r:id="rId542"/>
    <hyperlink ref="J58" r:id="rId543"/>
    <hyperlink ref="J59" r:id="rId544"/>
    <hyperlink ref="K60" r:id="rId545" display="mailto:mestock@mestock.cz"/>
    <hyperlink ref="J60" r:id="rId546"/>
    <hyperlink ref="K61" r:id="rId547" display="mailto:oucece@quick.cz"/>
    <hyperlink ref="J61" r:id="rId548"/>
    <hyperlink ref="K62" r:id="rId549" display="mailto:ceska.metuje@seznam.cz"/>
    <hyperlink ref="J62" r:id="rId550"/>
    <hyperlink ref="O64" r:id="rId551" display="mailto:zdarek@ceskemezirici.cz"/>
    <hyperlink ref="J64" r:id="rId552"/>
    <hyperlink ref="J65" r:id="rId553"/>
    <hyperlink ref="J66" r:id="rId554"/>
    <hyperlink ref="J67" r:id="rId555"/>
    <hyperlink ref="J68" r:id="rId556"/>
    <hyperlink ref="J69" r:id="rId557"/>
    <hyperlink ref="J70" r:id="rId558"/>
    <hyperlink ref="J71" r:id="rId559"/>
    <hyperlink ref="J72" r:id="rId560"/>
    <hyperlink ref="J73" r:id="rId561"/>
    <hyperlink ref="K74" r:id="rId562" display="mailto:posta@mestodobruska.cz"/>
    <hyperlink ref="J74" r:id="rId563"/>
    <hyperlink ref="J75" r:id="rId564"/>
    <hyperlink ref="J76" r:id="rId565"/>
    <hyperlink ref="J77" r:id="rId566"/>
    <hyperlink ref="J78" r:id="rId567"/>
    <hyperlink ref="K79" r:id="rId568" display="mailto:obec@dbranna.cz"/>
    <hyperlink ref="J79" r:id="rId569"/>
    <hyperlink ref="J80" r:id="rId570"/>
    <hyperlink ref="J81" r:id="rId571"/>
    <hyperlink ref="K82" r:id="rId572" display="mailto:obec@dolnikalna.cz"/>
    <hyperlink ref="J82" r:id="rId573"/>
    <hyperlink ref="K83" r:id="rId574" display="mailto:ou@dolnilanov.cz"/>
    <hyperlink ref="J83" r:id="rId575"/>
    <hyperlink ref="J84" r:id="rId576"/>
    <hyperlink ref="J85" r:id="rId577"/>
    <hyperlink ref="J86" r:id="rId578"/>
    <hyperlink ref="J87" r:id="rId579"/>
    <hyperlink ref="J88" r:id="rId580"/>
    <hyperlink ref="O88" r:id="rId581" display="mailto:obec.doubravice@telecom.cz"/>
    <hyperlink ref="K89" r:id="rId582" display="mailto:obec@doudleby.cz"/>
    <hyperlink ref="J89" r:id="rId583"/>
    <hyperlink ref="J90" r:id="rId584"/>
    <hyperlink ref="K91" r:id="rId585" display="mailto:dubenec@dubenec.cz"/>
    <hyperlink ref="J91" r:id="rId586"/>
    <hyperlink ref="K92" r:id="rId587" display="mailto:epodatelna@mudk.cz"/>
    <hyperlink ref="J92" r:id="rId588"/>
    <hyperlink ref="J93" r:id="rId589"/>
    <hyperlink ref="J94" r:id="rId590"/>
    <hyperlink ref="K95" r:id="rId591" display="mailto:obec@havlovice.cz "/>
    <hyperlink ref="J95" r:id="rId592"/>
    <hyperlink ref="K96" r:id="rId593" display="mailto:obec.hejtmankovice@tiscali.cz"/>
    <hyperlink ref="J96" r:id="rId594"/>
    <hyperlink ref="J97" r:id="rId595"/>
    <hyperlink ref="O99" r:id="rId596" display="mailto:trejbal@suprashoe.cz"/>
    <hyperlink ref="J99" r:id="rId597"/>
    <hyperlink ref="J98" r:id="rId598"/>
    <hyperlink ref="K100" r:id="rId599" display="mailto:starosta@hnevceves.cz;%20epodatelna@hnevceves.cz"/>
    <hyperlink ref="J100" r:id="rId600"/>
    <hyperlink ref="J101" r:id="rId601"/>
    <hyperlink ref="J102" r:id="rId602"/>
    <hyperlink ref="J103" r:id="rId603"/>
    <hyperlink ref="J104" r:id="rId604"/>
    <hyperlink ref="J105" r:id="rId605"/>
    <hyperlink ref="K106" r:id="rId606" display="mailto:obec@hornimarsov.cz"/>
    <hyperlink ref="J106" r:id="rId607"/>
    <hyperlink ref="J107" r:id="rId608"/>
    <hyperlink ref="J108" r:id="rId609"/>
    <hyperlink ref="J109" r:id="rId610"/>
    <hyperlink ref="K110" r:id="rId611" display="mailto:mesturad@horice.org"/>
    <hyperlink ref="J110" r:id="rId612"/>
    <hyperlink ref="J111" r:id="rId613"/>
    <hyperlink ref="O112" r:id="rId614" display="mailto:kuthanova@horineves.cz"/>
    <hyperlink ref="J112" r:id="rId615"/>
    <hyperlink ref="O113" r:id="rId616" display="mailto:starostka@muhostinne.cz "/>
    <hyperlink ref="J113" r:id="rId617"/>
    <hyperlink ref="K114" r:id="rId618" display="mailto:epodatelna@mmhk.cz"/>
    <hyperlink ref="J114" r:id="rId619"/>
    <hyperlink ref="J115" r:id="rId620"/>
    <hyperlink ref="K116" r:id="rId621" display="mailto:mestohronov@mestohronov.cz"/>
    <hyperlink ref="J116" r:id="rId622"/>
    <hyperlink ref="J117" r:id="rId623"/>
    <hyperlink ref="K118" r:id="rId624" display="mailto:info@hribojedy.cz"/>
    <hyperlink ref="J118" r:id="rId625"/>
    <hyperlink ref="J119" r:id="rId626"/>
    <hyperlink ref="J120" r:id="rId627"/>
    <hyperlink ref="J121" r:id="rId628"/>
    <hyperlink ref="J122" r:id="rId629"/>
    <hyperlink ref="J123" r:id="rId630"/>
    <hyperlink ref="J125" r:id="rId631"/>
    <hyperlink ref="J126" r:id="rId632"/>
    <hyperlink ref="J127" r:id="rId633"/>
    <hyperlink ref="J129" r:id="rId634"/>
    <hyperlink ref="J130" r:id="rId635"/>
    <hyperlink ref="J131" r:id="rId636"/>
    <hyperlink ref="K131" r:id="rId637" display="mailto:obec.chvalec@tiscali.cz"/>
    <hyperlink ref="O132" r:id="rId638" display="mailto:starosta@chvalkovice.cz"/>
    <hyperlink ref="J132" r:id="rId639"/>
    <hyperlink ref="J134" r:id="rId640"/>
    <hyperlink ref="J135" r:id="rId641"/>
    <hyperlink ref="J136" r:id="rId642"/>
    <hyperlink ref="K136" r:id="rId643" display="mailto:mesto@janske-lazne.cz"/>
    <hyperlink ref="K137" r:id="rId644" display="mailto:podatelna@jaromer-josefov.cz"/>
    <hyperlink ref="J137" r:id="rId645"/>
    <hyperlink ref="J138" r:id="rId646"/>
    <hyperlink ref="K139" r:id="rId647"/>
    <hyperlink ref="J139" r:id="rId648"/>
    <hyperlink ref="J140" r:id="rId649"/>
    <hyperlink ref="J142" r:id="rId650"/>
    <hyperlink ref="J143" r:id="rId651"/>
    <hyperlink ref="K144" r:id="rId652" display="mailto:posta@mujicin.cz"/>
    <hyperlink ref="J144" r:id="rId653"/>
    <hyperlink ref="J145" r:id="rId654"/>
    <hyperlink ref="J147" r:id="rId655"/>
    <hyperlink ref="J148" r:id="rId656"/>
    <hyperlink ref="J149" r:id="rId657"/>
    <hyperlink ref="J150" r:id="rId658"/>
    <hyperlink ref="J151" r:id="rId659"/>
    <hyperlink ref="J152" r:id="rId660"/>
    <hyperlink ref="J153" r:id="rId661"/>
    <hyperlink ref="J154" r:id="rId662"/>
    <hyperlink ref="J155" r:id="rId663"/>
    <hyperlink ref="K156" r:id="rId664" display="mailto:ou.kocbere@cmail.cz"/>
    <hyperlink ref="J156" r:id="rId665"/>
    <hyperlink ref="J157" r:id="rId666"/>
    <hyperlink ref="J158" r:id="rId667"/>
    <hyperlink ref="O158" r:id="rId668" display="mailto:starosta@konecchlumi-obec.cz"/>
    <hyperlink ref="O159" r:id="rId669" display="mailto:starosta@kopidlno.cz"/>
    <hyperlink ref="J159" r:id="rId670"/>
    <hyperlink ref="J160" r:id="rId671"/>
    <hyperlink ref="J162" r:id="rId672"/>
    <hyperlink ref="J161" r:id="rId673"/>
    <hyperlink ref="K163" r:id="rId674" display="mailto:podatelna@muko.cz"/>
    <hyperlink ref="J163" r:id="rId675"/>
    <hyperlink ref="J164" r:id="rId676"/>
    <hyperlink ref="J165" r:id="rId677"/>
    <hyperlink ref="J166" r:id="rId678"/>
    <hyperlink ref="J167" r:id="rId679"/>
    <hyperlink ref="J168" r:id="rId680"/>
    <hyperlink ref="J169" r:id="rId681"/>
    <hyperlink ref="J170" r:id="rId682"/>
    <hyperlink ref="J171" r:id="rId683"/>
    <hyperlink ref="K172" r:id="rId684" display="mailto:obec@kratonohy.cz"/>
    <hyperlink ref="J172" r:id="rId685"/>
    <hyperlink ref="J173" r:id="rId686"/>
    <hyperlink ref="J174" r:id="rId687"/>
    <hyperlink ref="J176" r:id="rId688"/>
    <hyperlink ref="J177" r:id="rId689"/>
    <hyperlink ref="K178" r:id="rId690" display="mailto:podatelna@obec-kvasiny.cz"/>
    <hyperlink ref="J178" r:id="rId691"/>
    <hyperlink ref="J179" r:id="rId692"/>
    <hyperlink ref="J180" r:id="rId693"/>
    <hyperlink ref="K181" r:id="rId694" display="mailto:obec@lanov.cz"/>
    <hyperlink ref="J181" r:id="rId695"/>
    <hyperlink ref="J182" r:id="rId696"/>
    <hyperlink ref="K183" r:id="rId697" display="mailto:podatelna@lazne-belohrad.cz"/>
    <hyperlink ref="J184" r:id="rId698"/>
    <hyperlink ref="J185" r:id="rId699"/>
    <hyperlink ref="J186" r:id="rId700"/>
    <hyperlink ref="J188" r:id="rId701"/>
    <hyperlink ref="K189" r:id="rId702" display="mailto:mestoliban@mestoliban.cz;%20podatelna@mestoliban.cz"/>
    <hyperlink ref="J189" r:id="rId703"/>
    <hyperlink ref="K190" r:id="rId704" display="mailto:obec@libcany.cz;%20obec.libcany@worldonline.cz"/>
    <hyperlink ref="J190" r:id="rId705"/>
    <hyperlink ref="J191" r:id="rId706"/>
    <hyperlink ref="J192" r:id="rId707"/>
    <hyperlink ref="J193" r:id="rId708"/>
    <hyperlink ref="J194" r:id="rId709"/>
    <hyperlink ref="K195" r:id="rId710" display="mailto:libnikovice@volny.cz"/>
    <hyperlink ref="J195" r:id="rId711"/>
    <hyperlink ref="J196" r:id="rId712"/>
    <hyperlink ref="J197" r:id="rId713"/>
    <hyperlink ref="J198" r:id="rId714"/>
    <hyperlink ref="J199" r:id="rId715"/>
    <hyperlink ref="K200" r:id="rId716" display="mailto:ou@libun.cz"/>
    <hyperlink ref="J200" r:id="rId717"/>
    <hyperlink ref="J201" r:id="rId718"/>
    <hyperlink ref="K202" r:id="rId719" display="mailto:lipa@nadorlici.cz"/>
    <hyperlink ref="J202" r:id="rId720"/>
    <hyperlink ref="J203" r:id="rId721"/>
    <hyperlink ref="J204" r:id="rId722"/>
    <hyperlink ref="J205" r:id="rId723"/>
    <hyperlink ref="K206" r:id="rId724" display="mailto:litobor@seznam.cz"/>
    <hyperlink ref="J206" r:id="rId725"/>
    <hyperlink ref="J207" r:id="rId726"/>
    <hyperlink ref="J208" r:id="rId727"/>
    <hyperlink ref="J209" r:id="rId728"/>
    <hyperlink ref="K209" r:id="rId729" display="mailto:obec@lovcice.eu"/>
    <hyperlink ref="K210" r:id="rId730" display="mailto:obec@lukavec.eu"/>
    <hyperlink ref="J210" r:id="rId731"/>
    <hyperlink ref="J211" r:id="rId732"/>
    <hyperlink ref="J212" r:id="rId733"/>
    <hyperlink ref="J213" r:id="rId734"/>
    <hyperlink ref="J214" r:id="rId735"/>
    <hyperlink ref="O214" r:id="rId736" display="mailto:%20m.mitlohner@centrum.cz"/>
    <hyperlink ref="K215" r:id="rId737" display="mailto:obec.luzec@quick.cz"/>
    <hyperlink ref="J215" r:id="rId738"/>
    <hyperlink ref="K216" r:id="rId739" display="mailto:ou.machov@worldonline.cz;%20machov-obec@machov-obec.cz"/>
    <hyperlink ref="J216" r:id="rId740"/>
    <hyperlink ref="S233" r:id="rId741"/>
    <hyperlink ref="S292" r:id="rId742" display="mailto:zdenka.seidelova@prepychy.cz"/>
    <hyperlink ref="S146" r:id="rId743"/>
    <hyperlink ref="S175" r:id="rId744"/>
    <hyperlink ref="S344" r:id="rId745"/>
    <hyperlink ref="S12" r:id="rId746"/>
    <hyperlink ref="S288" r:id="rId747"/>
    <hyperlink ref="S128" r:id="rId748"/>
    <hyperlink ref="S124" r:id="rId749"/>
    <hyperlink ref="S183" r:id="rId750"/>
    <hyperlink ref="S446" r:id="rId751"/>
    <hyperlink ref="S63" r:id="rId752"/>
    <hyperlink ref="S31" r:id="rId753"/>
    <hyperlink ref="S307" r:id="rId754"/>
    <hyperlink ref="J217" r:id="rId755"/>
    <hyperlink ref="K217" r:id="rId756" display="mailto:podatelna@malaupa.cz"/>
    <hyperlink ref="J218" r:id="rId757"/>
    <hyperlink ref="K218" r:id="rId758" display="mailto:podatelna@malesvatonovice.cz"/>
    <hyperlink ref="J219" r:id="rId759"/>
    <hyperlink ref="J220" r:id="rId760"/>
    <hyperlink ref="J221" r:id="rId761"/>
    <hyperlink ref="J222" r:id="rId762"/>
    <hyperlink ref="J223" r:id="rId763"/>
    <hyperlink ref="J224" r:id="rId764"/>
    <hyperlink ref="J225" r:id="rId765"/>
    <hyperlink ref="J226" r:id="rId766"/>
    <hyperlink ref="K226" r:id="rId767" display="mailto:podatelna@mezimesti.cz"/>
    <hyperlink ref="J227" r:id="rId768"/>
    <hyperlink ref="K227" r:id="rId769" display="mailto:obec.miletin@iol.cz"/>
    <hyperlink ref="J228" r:id="rId770"/>
    <hyperlink ref="K228" r:id="rId771" display="mailto:obecni.urad@miloviceuhoric.cz"/>
    <hyperlink ref="J229" r:id="rId772"/>
    <hyperlink ref="K229" r:id="rId773" display="mailto:info@mestysmladebuky.cz;%20podatelna@mestysmladebuky.cz"/>
    <hyperlink ref="J230" r:id="rId774"/>
    <hyperlink ref="J231" r:id="rId775"/>
    <hyperlink ref="J232" r:id="rId776"/>
    <hyperlink ref="J234" r:id="rId777"/>
    <hyperlink ref="J235" r:id="rId778"/>
    <hyperlink ref="K235" r:id="rId779" display="mailto:info@mostek.cz"/>
    <hyperlink ref="J236" r:id="rId780"/>
    <hyperlink ref="J237" r:id="rId781"/>
    <hyperlink ref="J238" r:id="rId782"/>
    <hyperlink ref="J239" r:id="rId783"/>
    <hyperlink ref="K239" r:id="rId784" display="mailto:podatelna@mestonachod.cz"/>
    <hyperlink ref="J240" r:id="rId785"/>
    <hyperlink ref="J241" r:id="rId786"/>
    <hyperlink ref="K242" r:id="rId787" display="mailto:info@nemojov.com,%20podatelna@nemojov.com"/>
    <hyperlink ref="J242" r:id="rId788"/>
    <hyperlink ref="J243" r:id="rId789"/>
    <hyperlink ref="O244" r:id="rId790" display="mailto:starosta.nepolisy@volny.cz"/>
    <hyperlink ref="K244" r:id="rId791" display="mailto:nepolisy@volny.cz"/>
    <hyperlink ref="J244" r:id="rId792"/>
    <hyperlink ref="J245" r:id="rId793"/>
    <hyperlink ref="K246" r:id="rId794" display="mailto:posta@munovapaka.cz"/>
    <hyperlink ref="J247" r:id="rId795"/>
    <hyperlink ref="J246" r:id="rId796"/>
    <hyperlink ref="J248" r:id="rId797"/>
    <hyperlink ref="J249" r:id="rId798"/>
    <hyperlink ref="K249" r:id="rId799" display="mailto:posta@novemestonm.cz"/>
    <hyperlink ref="J250" r:id="rId800"/>
    <hyperlink ref="K250" r:id="rId801" display="mailto:mesto@novybydzov.cz"/>
    <hyperlink ref="J251" r:id="rId802"/>
    <hyperlink ref="K251" r:id="rId803" display="mailto:uradmestyse@novy-hradek.cz"/>
    <hyperlink ref="J252" r:id="rId804"/>
    <hyperlink ref="J253" r:id="rId805"/>
    <hyperlink ref="J254" r:id="rId806"/>
    <hyperlink ref="J255" r:id="rId807"/>
    <hyperlink ref="J256" r:id="rId808"/>
    <hyperlink ref="J257" r:id="rId809"/>
    <hyperlink ref="O257" r:id="rId810"/>
    <hyperlink ref="J258" r:id="rId811"/>
    <hyperlink ref="J259" r:id="rId812"/>
    <hyperlink ref="J260" r:id="rId813"/>
    <hyperlink ref="J262" r:id="rId814"/>
    <hyperlink ref="K262" r:id="rId815" display="mailto:info@mu.opocno.cz"/>
    <hyperlink ref="J263" r:id="rId816"/>
    <hyperlink ref="J264" r:id="rId817"/>
    <hyperlink ref="K264" r:id="rId818" display="mailto:obec.osecnice@tiscali.cz"/>
    <hyperlink ref="J265" r:id="rId819"/>
    <hyperlink ref="K265" r:id="rId820" display="mailto:obec@osekusobotky.cz"/>
    <hyperlink ref="J266" r:id="rId821"/>
    <hyperlink ref="J267" r:id="rId822"/>
    <hyperlink ref="J268" r:id="rId823"/>
    <hyperlink ref="J269" r:id="rId824"/>
    <hyperlink ref="J270" r:id="rId825"/>
    <hyperlink ref="K271" r:id="rId826" display="mailto:podatelna@pecpodsnezkou.cz"/>
    <hyperlink ref="J271" r:id="rId827"/>
    <hyperlink ref="J272" r:id="rId828"/>
    <hyperlink ref="K273" r:id="rId829" display="mailto:obec@pecin.cz"/>
    <hyperlink ref="J273" r:id="rId830"/>
    <hyperlink ref="J274" r:id="rId831"/>
    <hyperlink ref="J275" r:id="rId832"/>
    <hyperlink ref="K276" r:id="rId833" display="mailto:starosta@pilnikov.cz;%20podatelna@pilnikov.cz"/>
    <hyperlink ref="J276" r:id="rId834"/>
    <hyperlink ref="J277" r:id="rId835"/>
    <hyperlink ref="K278" r:id="rId836" display="mailto:obec@podbrezi.cz"/>
    <hyperlink ref="J278" r:id="rId837"/>
    <hyperlink ref="J279" r:id="rId838"/>
    <hyperlink ref="J280" r:id="rId839"/>
    <hyperlink ref="J281" r:id="rId840"/>
    <hyperlink ref="J282" r:id="rId841"/>
    <hyperlink ref="K283" r:id="rId842" display="mailto:meu@meu-police.cz"/>
    <hyperlink ref="J283" r:id="rId843"/>
    <hyperlink ref="J284" r:id="rId844"/>
    <hyperlink ref="K285" r:id="rId845" display="mailto:e-podatelna@potstejn.cz"/>
    <hyperlink ref="J285" r:id="rId846"/>
    <hyperlink ref="J286" r:id="rId847"/>
    <hyperlink ref="K287" r:id="rId848" display="mailto:praskacka@praskacka.cz"/>
    <hyperlink ref="J287" r:id="rId849"/>
    <hyperlink ref="J289" r:id="rId850"/>
    <hyperlink ref="J290" r:id="rId851"/>
    <hyperlink ref="J291" r:id="rId852"/>
    <hyperlink ref="J293" r:id="rId853"/>
    <hyperlink ref="J294" r:id="rId854"/>
    <hyperlink ref="J295" r:id="rId855"/>
    <hyperlink ref="J296" r:id="rId856"/>
    <hyperlink ref="J297" r:id="rId857"/>
    <hyperlink ref="J298" r:id="rId858"/>
    <hyperlink ref="J299" r:id="rId859"/>
    <hyperlink ref="J300" r:id="rId860"/>
    <hyperlink ref="J301" r:id="rId861"/>
    <hyperlink ref="J302" r:id="rId862"/>
    <hyperlink ref="J303" r:id="rId863"/>
    <hyperlink ref="K304" r:id="rId864" display="mailto:obec@rohenice.cz"/>
    <hyperlink ref="J304" r:id="rId865"/>
    <hyperlink ref="K305" r:id="rId866" display="mailto:ou.rohoznice@seznam.cz"/>
    <hyperlink ref="J305" r:id="rId867"/>
    <hyperlink ref="J306" r:id="rId868"/>
    <hyperlink ref="J308" r:id="rId869"/>
    <hyperlink ref="K310" r:id="rId870" display="mailto:mesto@mestortyne.cz"/>
    <hyperlink ref="J310" r:id="rId871"/>
    <hyperlink ref="J309" r:id="rId872"/>
    <hyperlink ref="K311" r:id="rId873" display="mailto:podatelna@rudnik.cz"/>
    <hyperlink ref="J311" r:id="rId874"/>
    <hyperlink ref="J312" r:id="rId875"/>
    <hyperlink ref="K313" r:id="rId876" display="mailto:podatelna@rychnov-city.cz"/>
    <hyperlink ref="J313" r:id="rId877"/>
    <hyperlink ref="J314" r:id="rId878"/>
    <hyperlink ref="J315" r:id="rId879"/>
    <hyperlink ref="J316" r:id="rId880"/>
    <hyperlink ref="J318" r:id="rId881"/>
    <hyperlink ref="J319" r:id="rId882"/>
    <hyperlink ref="J320" r:id="rId883"/>
    <hyperlink ref="J321" r:id="rId884"/>
    <hyperlink ref="K322" r:id="rId885" display="mailto:ou.sekerice@tiscali.cz"/>
    <hyperlink ref="J322" r:id="rId886"/>
    <hyperlink ref="J323" r:id="rId887"/>
    <hyperlink ref="J324" r:id="rId888"/>
    <hyperlink ref="J325" r:id="rId889"/>
    <hyperlink ref="J326" r:id="rId890"/>
    <hyperlink ref="J327" r:id="rId891"/>
    <hyperlink ref="J328" r:id="rId892"/>
    <hyperlink ref="K329" r:id="rId893" display="mailto:obec@slatinanadupou.cz"/>
    <hyperlink ref="J329" r:id="rId894"/>
    <hyperlink ref="K330" r:id="rId895" display="mailto:obec@slatinanz.cz"/>
    <hyperlink ref="J330" r:id="rId896"/>
    <hyperlink ref="J331" r:id="rId897"/>
    <hyperlink ref="J332" r:id="rId898"/>
    <hyperlink ref="J333" r:id="rId899"/>
    <hyperlink ref="J334" r:id="rId900"/>
    <hyperlink ref="J335" r:id="rId901"/>
    <hyperlink ref="K336" r:id="rId902" display="mailto:podatelna@smidary.cz"/>
    <hyperlink ref="J336" r:id="rId903"/>
    <hyperlink ref="K337" r:id="rId904" display="mailto:podatelna@smirice.cz;%20epodatelna@mestosmirice.cz"/>
    <hyperlink ref="J337" r:id="rId905"/>
    <hyperlink ref="J338" r:id="rId906"/>
    <hyperlink ref="J339" r:id="rId907"/>
    <hyperlink ref="J340" r:id="rId908"/>
    <hyperlink ref="J341" r:id="rId909"/>
    <hyperlink ref="K342" r:id="rId910" display="mailto:%20urad@sobotka.cz;%20sobotka@craj.cz"/>
    <hyperlink ref="J342" r:id="rId911"/>
    <hyperlink ref="J343" r:id="rId912"/>
    <hyperlink ref="J344" r:id="rId913"/>
    <hyperlink ref="J345" r:id="rId914"/>
    <hyperlink ref="K346" r:id="rId915" display="mailto:ou@starapaka.cz"/>
    <hyperlink ref="J346" r:id="rId916"/>
    <hyperlink ref="K347" r:id="rId917" display="mailto:obec.staravoda@seznam.cz"/>
    <hyperlink ref="J347" r:id="rId918"/>
    <hyperlink ref="K348" r:id="rId919" display="mailto:obec.starebuky@tiscali.cz"/>
    <hyperlink ref="J348" r:id="rId920"/>
    <hyperlink ref="J349" r:id="rId921"/>
    <hyperlink ref="J350" r:id="rId922"/>
    <hyperlink ref="J351" r:id="rId923"/>
    <hyperlink ref="J352" r:id="rId924"/>
    <hyperlink ref="J353" r:id="rId925"/>
    <hyperlink ref="J354" r:id="rId926"/>
    <hyperlink ref="J355" r:id="rId927"/>
    <hyperlink ref="K356" r:id="rId928" display="mailto:technik@strazne.eu"/>
    <hyperlink ref="J356" r:id="rId929"/>
    <hyperlink ref="J357" r:id="rId930"/>
    <hyperlink ref="J358" r:id="rId931"/>
    <hyperlink ref="K359" r:id="rId932" display="mailto:urad@obecstudnicena.cz"/>
    <hyperlink ref="J359" r:id="rId933"/>
    <hyperlink ref="K360" r:id="rId934"/>
    <hyperlink ref="J360" r:id="rId935"/>
    <hyperlink ref="J361" r:id="rId936"/>
    <hyperlink ref="J362" r:id="rId937"/>
    <hyperlink ref="J363" r:id="rId938"/>
    <hyperlink ref="J364" r:id="rId939"/>
    <hyperlink ref="J365" r:id="rId940"/>
    <hyperlink ref="K366" r:id="rId941" display="mailto:podatelna@musvoboda.cz"/>
    <hyperlink ref="J366" r:id="rId942"/>
    <hyperlink ref="K367" r:id="rId943"/>
    <hyperlink ref="J367" r:id="rId944"/>
    <hyperlink ref="J368" r:id="rId945"/>
    <hyperlink ref="J369" r:id="rId946"/>
    <hyperlink ref="J370" r:id="rId947"/>
    <hyperlink ref="J371" r:id="rId948"/>
    <hyperlink ref="K372" r:id="rId949" display="mailto:sonov@obec.cz"/>
    <hyperlink ref="J372" r:id="rId950"/>
    <hyperlink ref="K373" r:id="rId951" display="mailto:podatelna@mestospindleruvmlyn.cz"/>
    <hyperlink ref="J373" r:id="rId952"/>
    <hyperlink ref="J374" r:id="rId953"/>
    <hyperlink ref="K375" r:id="rId954"/>
    <hyperlink ref="J375" r:id="rId955"/>
    <hyperlink ref="J376" r:id="rId956"/>
    <hyperlink ref="J377" r:id="rId957"/>
    <hyperlink ref="J378" r:id="rId958"/>
    <hyperlink ref="J379" r:id="rId959"/>
    <hyperlink ref="K380" r:id="rId960" display="mailto:podatelna@mutrebechovice.cz"/>
    <hyperlink ref="J380" r:id="rId961"/>
    <hyperlink ref="J381" r:id="rId962"/>
    <hyperlink ref="J382" r:id="rId963"/>
    <hyperlink ref="J383" r:id="rId964"/>
    <hyperlink ref="J384" r:id="rId965"/>
    <hyperlink ref="J385" r:id="rId966"/>
    <hyperlink ref="J386" r:id="rId967"/>
    <hyperlink ref="K387" r:id="rId968" display="mailto:obec.tutleky@tiscali.cz"/>
    <hyperlink ref="J387" r:id="rId969"/>
    <hyperlink ref="K388" r:id="rId970" display="mailto:mestsky.urad@tyniste.cz"/>
    <hyperlink ref="J388" r:id="rId971"/>
    <hyperlink ref="J389" r:id="rId972"/>
    <hyperlink ref="J390" r:id="rId973"/>
    <hyperlink ref="J391" r:id="rId974"/>
    <hyperlink ref="J392" r:id="rId975"/>
    <hyperlink ref="O393" r:id="rId976" display="mailto:starosta@ulibice.cz"/>
    <hyperlink ref="J393" r:id="rId977"/>
    <hyperlink ref="K394" r:id="rId978" display="mailto:mupice@volny.cz"/>
    <hyperlink ref="J394" r:id="rId979"/>
    <hyperlink ref="J395" r:id="rId980"/>
    <hyperlink ref="J396" r:id="rId981"/>
    <hyperlink ref="K397" r:id="rId982" display="mailto:ou@valdice.cz"/>
    <hyperlink ref="J397" r:id="rId983"/>
    <hyperlink ref="K398" r:id="rId984" display="mailto:podatelna@vamberk-city.cz"/>
    <hyperlink ref="J398" r:id="rId985"/>
    <hyperlink ref="J399" r:id="rId986"/>
    <hyperlink ref="J400" r:id="rId987"/>
    <hyperlink ref="K401" r:id="rId988" display="mailto:info@velkajesenice.cz"/>
    <hyperlink ref="J401" r:id="rId989"/>
    <hyperlink ref="J402" r:id="rId990"/>
    <hyperlink ref="K403" r:id="rId991" display="mailto:ou@velkeporici.cz"/>
    <hyperlink ref="J403" r:id="rId992"/>
    <hyperlink ref="K404" r:id="rId993" display="mailto:urad@velkesvatonovice.cz"/>
    <hyperlink ref="J404" r:id="rId994"/>
    <hyperlink ref="K405" r:id="rId995" display="mailto:velky.trebesov@email.cz"/>
    <hyperlink ref="J405" r:id="rId996"/>
    <hyperlink ref="K406" r:id="rId997" display="mailto:epodatelna@velkyvrestov.cz"/>
    <hyperlink ref="J406" r:id="rId998"/>
    <hyperlink ref="J407" r:id="rId999"/>
    <hyperlink ref="O408" r:id="rId1000" display="mailto:starosta@obecvestec.eu"/>
    <hyperlink ref="J408" r:id="rId1001"/>
    <hyperlink ref="K409" r:id="rId1002" display="mailto:obec@vidochov.cz "/>
    <hyperlink ref="J409" r:id="rId1003"/>
    <hyperlink ref="J410" r:id="rId1004"/>
    <hyperlink ref="J411" r:id="rId1005"/>
    <hyperlink ref="K412" r:id="rId1006" display="mailto:podatelna@vitezna.cz"/>
    <hyperlink ref="J412" r:id="rId1007"/>
    <hyperlink ref="J413" r:id="rId1008"/>
    <hyperlink ref="K414" r:id="rId1009" display="mailto:podatelna@ou-vlcice.cz"/>
    <hyperlink ref="J414" r:id="rId1010"/>
    <hyperlink ref="K415" r:id="rId1011" display="mailto:starosta@vlckovice.cz;%20podatelna@vlckovice.cz"/>
    <hyperlink ref="J415" r:id="rId1012"/>
    <hyperlink ref="J416" r:id="rId1013"/>
    <hyperlink ref="J417" r:id="rId1014"/>
    <hyperlink ref="J418" r:id="rId1015"/>
    <hyperlink ref="J419" r:id="rId1016"/>
    <hyperlink ref="J420" r:id="rId1017"/>
    <hyperlink ref="J421" r:id="rId1018"/>
    <hyperlink ref="K421" r:id="rId1019" display="mailto:posta@muvrchlabi.cz"/>
    <hyperlink ref="K422" r:id="rId1020" display="mailto:vrchovnice@tiscali.cz"/>
    <hyperlink ref="J422" r:id="rId1021"/>
    <hyperlink ref="J423" r:id="rId1022"/>
    <hyperlink ref="K424" r:id="rId1023" display="mailto:podatelna@vrsovka.cz"/>
    <hyperlink ref="J424" r:id="rId1024"/>
    <hyperlink ref="J425" r:id="rId1025"/>
    <hyperlink ref="J426" r:id="rId1026"/>
    <hyperlink ref="J427" r:id="rId1027"/>
    <hyperlink ref="K428" r:id="rId1028" display="mailto:info@vysoka-nad-labem.cz"/>
    <hyperlink ref="J428" r:id="rId1029"/>
    <hyperlink ref="J429" r:id="rId1030"/>
    <hyperlink ref="J430" r:id="rId1031"/>
    <hyperlink ref="J431" r:id="rId1032"/>
    <hyperlink ref="J432" r:id="rId1033"/>
    <hyperlink ref="J433" r:id="rId1034"/>
    <hyperlink ref="K434" r:id="rId1035" display="mailto:obec.zabrezi@worldonline.cz"/>
    <hyperlink ref="J434" r:id="rId1036"/>
    <hyperlink ref="J435" r:id="rId1037"/>
    <hyperlink ref="J436" r:id="rId1038"/>
    <hyperlink ref="J437" r:id="rId1039"/>
    <hyperlink ref="J438" r:id="rId1040"/>
    <hyperlink ref="J439" r:id="rId1041"/>
    <hyperlink ref="J440" r:id="rId1042"/>
    <hyperlink ref="J441" r:id="rId1043"/>
    <hyperlink ref="K442" r:id="rId1044" display="mailto:podatelna@zdobnice.com;%20ivan.partl@zdobnice.com"/>
    <hyperlink ref="J442" r:id="rId1045"/>
    <hyperlink ref="K443" r:id="rId1046" display="mailto:obec@zeleneckalhota.cz"/>
    <hyperlink ref="J443" r:id="rId1047"/>
    <hyperlink ref="K444" r:id="rId1048" display="mailto:podat.zl-olesnice@volny.cz"/>
    <hyperlink ref="J444" r:id="rId1049"/>
    <hyperlink ref="K445" r:id="rId1050" display="mailto:posta@zacler.cz"/>
    <hyperlink ref="J445" r:id="rId1051"/>
    <hyperlink ref="J447" r:id="rId1052"/>
    <hyperlink ref="J448" r:id="rId1053"/>
    <hyperlink ref="J449" r:id="rId1054"/>
    <hyperlink ref="J450" r:id="rId1055"/>
    <hyperlink ref="J451" r:id="rId1056"/>
    <hyperlink ref="J452" r:id="rId1057"/>
    <hyperlink ref="K45" r:id="rId1058" display="mailto:butoves@obcecr.cz"/>
    <hyperlink ref="J133" r:id="rId1059"/>
    <hyperlink ref="K351" r:id="rId1060"/>
    <hyperlink ref="K29" r:id="rId1061"/>
    <hyperlink ref="O404" r:id="rId1062"/>
  </hyperlinks>
  <pageMargins left="0.6692913385826772" right="0.6692913385826772" top="0.59055118110236227" bottom="0.78740157480314965" header="0.31496062992125984" footer="0.31496062992125984"/>
  <pageSetup paperSize="9" scale="80" fitToHeight="0" orientation="landscape" r:id="rId1063"/>
  <legacyDrawing r:id="rId106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KHK</vt:lpstr>
      <vt:lpstr>KHK!Názvy_tisku</vt:lpstr>
      <vt:lpstr>KHK!Oblast_tisku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Kamenický Petr Mgr.</dc:creator>
  <cp:lastModifiedBy>Kamenický Petr Mgr.</cp:lastModifiedBy>
  <cp:lastPrinted>2017-03-16T12:17:29Z</cp:lastPrinted>
  <dcterms:created xsi:type="dcterms:W3CDTF">2001-09-04T07:58:34Z</dcterms:created>
  <dcterms:modified xsi:type="dcterms:W3CDTF">2017-06-20T05:46:46Z</dcterms:modified>
</cp:coreProperties>
</file>