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2015"/>
  </bookViews>
  <sheets>
    <sheet name="2013 " sheetId="2" r:id="rId1"/>
  </sheets>
  <definedNames>
    <definedName name="_xlnm.Print_Titles" localSheetId="0">'2013 '!$7:$7</definedName>
    <definedName name="_xlnm.Print_Area" localSheetId="0">'2013 '!$A$1:$J$262</definedName>
  </definedNames>
  <calcPr calcId="125725"/>
</workbook>
</file>

<file path=xl/calcChain.xml><?xml version="1.0" encoding="utf-8"?>
<calcChain xmlns="http://schemas.openxmlformats.org/spreadsheetml/2006/main">
  <c r="J80" i="2"/>
  <c r="H80"/>
  <c r="J65"/>
  <c r="J64" s="1"/>
  <c r="J147"/>
  <c r="J143" s="1"/>
  <c r="J171"/>
  <c r="J168" s="1"/>
  <c r="J167" s="1"/>
  <c r="E18"/>
  <c r="E12" s="1"/>
  <c r="E25"/>
  <c r="E32"/>
  <c r="E40"/>
  <c r="E45"/>
  <c r="E53"/>
  <c r="E57"/>
  <c r="E61"/>
  <c r="E65"/>
  <c r="E64" s="1"/>
  <c r="E72"/>
  <c r="E80"/>
  <c r="E85"/>
  <c r="E88"/>
  <c r="E92"/>
  <c r="E97"/>
  <c r="E101"/>
  <c r="E106"/>
  <c r="E112"/>
  <c r="E116"/>
  <c r="E122"/>
  <c r="E127"/>
  <c r="E133"/>
  <c r="E138"/>
  <c r="E143"/>
  <c r="E148"/>
  <c r="E153"/>
  <c r="E157"/>
  <c r="E161"/>
  <c r="E164"/>
  <c r="E168"/>
  <c r="E167" s="1"/>
  <c r="E175"/>
  <c r="H175" s="1"/>
  <c r="E180"/>
  <c r="H180" s="1"/>
  <c r="E182"/>
  <c r="E181" s="1"/>
  <c r="E186"/>
  <c r="E190"/>
  <c r="E195"/>
  <c r="E204"/>
  <c r="E205"/>
  <c r="E207"/>
  <c r="E210"/>
  <c r="E215"/>
  <c r="E219"/>
  <c r="E221"/>
  <c r="E225"/>
  <c r="E231"/>
  <c r="E239"/>
  <c r="E244"/>
  <c r="E259"/>
  <c r="G9"/>
  <c r="G18"/>
  <c r="G12" s="1"/>
  <c r="G25"/>
  <c r="G32"/>
  <c r="G40"/>
  <c r="G45"/>
  <c r="G53"/>
  <c r="G57"/>
  <c r="G61"/>
  <c r="G65"/>
  <c r="G68"/>
  <c r="G72"/>
  <c r="G80"/>
  <c r="G85"/>
  <c r="G88"/>
  <c r="G92"/>
  <c r="G97"/>
  <c r="G101"/>
  <c r="G106"/>
  <c r="G112"/>
  <c r="G116"/>
  <c r="G122"/>
  <c r="G127"/>
  <c r="G133"/>
  <c r="G138"/>
  <c r="G143"/>
  <c r="G148"/>
  <c r="G153"/>
  <c r="G157"/>
  <c r="G161"/>
  <c r="G164"/>
  <c r="G168"/>
  <c r="G167" s="1"/>
  <c r="G175"/>
  <c r="G177"/>
  <c r="G180"/>
  <c r="G182"/>
  <c r="G181" s="1"/>
  <c r="G186"/>
  <c r="G190"/>
  <c r="G195"/>
  <c r="G204"/>
  <c r="G205"/>
  <c r="G207"/>
  <c r="G210"/>
  <c r="G215"/>
  <c r="G219"/>
  <c r="G221"/>
  <c r="G225"/>
  <c r="G231"/>
  <c r="G239"/>
  <c r="G244"/>
  <c r="G259"/>
  <c r="J204"/>
  <c r="J244"/>
  <c r="J239"/>
  <c r="J231"/>
  <c r="J225"/>
  <c r="J159"/>
  <c r="J157" s="1"/>
  <c r="J17"/>
  <c r="J195"/>
  <c r="J191"/>
  <c r="J190" s="1"/>
  <c r="J155"/>
  <c r="J153" s="1"/>
  <c r="J250"/>
  <c r="J103"/>
  <c r="J101" s="1"/>
  <c r="I171"/>
  <c r="I168" s="1"/>
  <c r="J259"/>
  <c r="J219"/>
  <c r="J186"/>
  <c r="J182"/>
  <c r="J181" s="1"/>
  <c r="J173"/>
  <c r="J172" s="1"/>
  <c r="J164"/>
  <c r="J161"/>
  <c r="J148"/>
  <c r="J138"/>
  <c r="J133"/>
  <c r="J127"/>
  <c r="J122"/>
  <c r="J116"/>
  <c r="J112"/>
  <c r="J106"/>
  <c r="J97"/>
  <c r="J92"/>
  <c r="J88"/>
  <c r="J85"/>
  <c r="J72"/>
  <c r="J61"/>
  <c r="J57"/>
  <c r="J53"/>
  <c r="J45"/>
  <c r="J40"/>
  <c r="J32"/>
  <c r="J25"/>
  <c r="J18"/>
  <c r="I259"/>
  <c r="H259"/>
  <c r="F259"/>
  <c r="D259"/>
  <c r="H244"/>
  <c r="F244"/>
  <c r="D244"/>
  <c r="C244"/>
  <c r="B244"/>
  <c r="H239"/>
  <c r="F239"/>
  <c r="D239"/>
  <c r="C239"/>
  <c r="H231"/>
  <c r="F231"/>
  <c r="D231"/>
  <c r="C231"/>
  <c r="B231"/>
  <c r="H225"/>
  <c r="F225"/>
  <c r="D225"/>
  <c r="C225"/>
  <c r="F221"/>
  <c r="D221"/>
  <c r="C221"/>
  <c r="C204" s="1"/>
  <c r="I219"/>
  <c r="H219"/>
  <c r="F219"/>
  <c r="D219"/>
  <c r="C219"/>
  <c r="H215"/>
  <c r="F215"/>
  <c r="D215"/>
  <c r="C215"/>
  <c r="H210"/>
  <c r="F210"/>
  <c r="D210"/>
  <c r="C210"/>
  <c r="B210"/>
  <c r="H207"/>
  <c r="F207"/>
  <c r="D207"/>
  <c r="C207"/>
  <c r="H205"/>
  <c r="F205"/>
  <c r="D205"/>
  <c r="I204"/>
  <c r="H204"/>
  <c r="F204"/>
  <c r="D204"/>
  <c r="B204"/>
  <c r="H195"/>
  <c r="F195"/>
  <c r="D195"/>
  <c r="I190"/>
  <c r="H190"/>
  <c r="H189" s="1"/>
  <c r="F190"/>
  <c r="D190"/>
  <c r="D189" s="1"/>
  <c r="C189"/>
  <c r="I186"/>
  <c r="H186"/>
  <c r="F186"/>
  <c r="D186"/>
  <c r="C186"/>
  <c r="I182"/>
  <c r="I181" s="1"/>
  <c r="H182"/>
  <c r="H181" s="1"/>
  <c r="F182"/>
  <c r="F181" s="1"/>
  <c r="D182"/>
  <c r="D181" s="1"/>
  <c r="B182"/>
  <c r="B181" s="1"/>
  <c r="H179"/>
  <c r="H178"/>
  <c r="H177"/>
  <c r="H176"/>
  <c r="I173"/>
  <c r="I172" s="1"/>
  <c r="F173"/>
  <c r="F172" s="1"/>
  <c r="D173"/>
  <c r="D172" s="1"/>
  <c r="C173"/>
  <c r="C172" s="1"/>
  <c r="B173"/>
  <c r="B172" s="1"/>
  <c r="H171"/>
  <c r="H170"/>
  <c r="F168"/>
  <c r="F167" s="1"/>
  <c r="D168"/>
  <c r="D167" s="1"/>
  <c r="C168"/>
  <c r="C167" s="1"/>
  <c r="B168"/>
  <c r="B167" s="1"/>
  <c r="I164"/>
  <c r="H164"/>
  <c r="F164"/>
  <c r="D164"/>
  <c r="C164"/>
  <c r="I161"/>
  <c r="H161"/>
  <c r="F161"/>
  <c r="D161"/>
  <c r="C161"/>
  <c r="B161"/>
  <c r="B160" s="1"/>
  <c r="I157"/>
  <c r="H157"/>
  <c r="F157"/>
  <c r="D157"/>
  <c r="C157"/>
  <c r="B157"/>
  <c r="B155"/>
  <c r="I153"/>
  <c r="H153"/>
  <c r="F153"/>
  <c r="D153"/>
  <c r="C153"/>
  <c r="I148"/>
  <c r="H148"/>
  <c r="F148"/>
  <c r="D148"/>
  <c r="H145"/>
  <c r="H143" s="1"/>
  <c r="I143"/>
  <c r="F143"/>
  <c r="D143"/>
  <c r="D142" s="1"/>
  <c r="C143"/>
  <c r="C142" s="1"/>
  <c r="C138" s="1"/>
  <c r="B143"/>
  <c r="B142" s="1"/>
  <c r="B138" s="1"/>
  <c r="I138"/>
  <c r="H138"/>
  <c r="F138"/>
  <c r="D138"/>
  <c r="I137"/>
  <c r="I133" s="1"/>
  <c r="I132" s="1"/>
  <c r="H137"/>
  <c r="H133" s="1"/>
  <c r="H132" s="1"/>
  <c r="F133"/>
  <c r="D133"/>
  <c r="C133"/>
  <c r="C132" s="1"/>
  <c r="B133"/>
  <c r="B132" s="1"/>
  <c r="I127"/>
  <c r="H127"/>
  <c r="F127"/>
  <c r="D127"/>
  <c r="C127"/>
  <c r="B127"/>
  <c r="D126"/>
  <c r="D122" s="1"/>
  <c r="H124"/>
  <c r="H122" s="1"/>
  <c r="I122"/>
  <c r="F122"/>
  <c r="C122"/>
  <c r="B122"/>
  <c r="I116"/>
  <c r="H116"/>
  <c r="F116"/>
  <c r="D116"/>
  <c r="C116"/>
  <c r="B116"/>
  <c r="H115"/>
  <c r="H112" s="1"/>
  <c r="I112"/>
  <c r="F112"/>
  <c r="D112"/>
  <c r="C112"/>
  <c r="B112"/>
  <c r="I106"/>
  <c r="H106"/>
  <c r="F106"/>
  <c r="D106"/>
  <c r="C106"/>
  <c r="I101"/>
  <c r="H101"/>
  <c r="F101"/>
  <c r="D101"/>
  <c r="C101"/>
  <c r="B101"/>
  <c r="B100" s="1"/>
  <c r="I97"/>
  <c r="H97"/>
  <c r="F97"/>
  <c r="D97"/>
  <c r="C97"/>
  <c r="B97"/>
  <c r="H95"/>
  <c r="H92" s="1"/>
  <c r="I92"/>
  <c r="F92"/>
  <c r="D92"/>
  <c r="C92"/>
  <c r="B92"/>
  <c r="I88"/>
  <c r="H88"/>
  <c r="F88"/>
  <c r="D88"/>
  <c r="I85"/>
  <c r="H85"/>
  <c r="H84" s="1"/>
  <c r="F85"/>
  <c r="D85"/>
  <c r="C85"/>
  <c r="C84" s="1"/>
  <c r="B85"/>
  <c r="B84" s="1"/>
  <c r="I80"/>
  <c r="F80"/>
  <c r="D80"/>
  <c r="C80"/>
  <c r="B80"/>
  <c r="I72"/>
  <c r="H72"/>
  <c r="F72"/>
  <c r="D72"/>
  <c r="C72"/>
  <c r="B72"/>
  <c r="B71" s="1"/>
  <c r="H67"/>
  <c r="H65" s="1"/>
  <c r="I65"/>
  <c r="I64" s="1"/>
  <c r="F65"/>
  <c r="F64" s="1"/>
  <c r="D65"/>
  <c r="D64" s="1"/>
  <c r="C65"/>
  <c r="C64" s="1"/>
  <c r="B65"/>
  <c r="B64" s="1"/>
  <c r="I61"/>
  <c r="H61"/>
  <c r="F61"/>
  <c r="D61"/>
  <c r="C61"/>
  <c r="B61"/>
  <c r="I57"/>
  <c r="H57"/>
  <c r="F57"/>
  <c r="D57"/>
  <c r="C57"/>
  <c r="B57"/>
  <c r="I53"/>
  <c r="H53"/>
  <c r="F53"/>
  <c r="D53"/>
  <c r="H50"/>
  <c r="H47"/>
  <c r="I45"/>
  <c r="F45"/>
  <c r="D45"/>
  <c r="C45"/>
  <c r="C44" s="1"/>
  <c r="B45"/>
  <c r="B44" s="1"/>
  <c r="I40"/>
  <c r="H40"/>
  <c r="F40"/>
  <c r="D40"/>
  <c r="C40"/>
  <c r="B40"/>
  <c r="H39"/>
  <c r="H37"/>
  <c r="I32"/>
  <c r="I31" s="1"/>
  <c r="F32"/>
  <c r="D32"/>
  <c r="C32"/>
  <c r="B32"/>
  <c r="B31" s="1"/>
  <c r="H27"/>
  <c r="H25" s="1"/>
  <c r="I25"/>
  <c r="F25"/>
  <c r="D25"/>
  <c r="C25"/>
  <c r="B25"/>
  <c r="I18"/>
  <c r="I12" s="1"/>
  <c r="H18"/>
  <c r="H12" s="1"/>
  <c r="F18"/>
  <c r="F12" s="1"/>
  <c r="D18"/>
  <c r="D12" s="1"/>
  <c r="C18"/>
  <c r="C12" s="1"/>
  <c r="B18"/>
  <c r="B12" s="1"/>
  <c r="G160" l="1"/>
  <c r="H64"/>
  <c r="G91"/>
  <c r="E160"/>
  <c r="E84"/>
  <c r="H142"/>
  <c r="E31"/>
  <c r="E44"/>
  <c r="E29"/>
  <c r="G142"/>
  <c r="G100"/>
  <c r="G84"/>
  <c r="E152"/>
  <c r="E91"/>
  <c r="E121"/>
  <c r="E202"/>
  <c r="F189"/>
  <c r="F185" s="1"/>
  <c r="G189"/>
  <c r="E142"/>
  <c r="G132"/>
  <c r="E132"/>
  <c r="E111"/>
  <c r="G56"/>
  <c r="E56"/>
  <c r="G44"/>
  <c r="G185"/>
  <c r="G121"/>
  <c r="E257"/>
  <c r="I91"/>
  <c r="F100"/>
  <c r="G64"/>
  <c r="E189"/>
  <c r="E185" s="1"/>
  <c r="E100"/>
  <c r="E71"/>
  <c r="E173"/>
  <c r="G152"/>
  <c r="G71"/>
  <c r="G257"/>
  <c r="G29"/>
  <c r="G202"/>
  <c r="G173"/>
  <c r="G172" s="1"/>
  <c r="G111"/>
  <c r="G31"/>
  <c r="B91"/>
  <c r="H100"/>
  <c r="D111"/>
  <c r="H121"/>
  <c r="D44"/>
  <c r="F29"/>
  <c r="F31"/>
  <c r="D56"/>
  <c r="F111"/>
  <c r="H168"/>
  <c r="H167" s="1"/>
  <c r="D185"/>
  <c r="F71"/>
  <c r="C100"/>
  <c r="H32"/>
  <c r="H31" s="1"/>
  <c r="D29"/>
  <c r="H56"/>
  <c r="C121"/>
  <c r="D160"/>
  <c r="C185"/>
  <c r="C182" s="1"/>
  <c r="C181" s="1"/>
  <c r="C29"/>
  <c r="F256"/>
  <c r="H71"/>
  <c r="I100"/>
  <c r="B111"/>
  <c r="D121"/>
  <c r="F132"/>
  <c r="H185"/>
  <c r="J56"/>
  <c r="J121"/>
  <c r="J100"/>
  <c r="D71"/>
  <c r="D84"/>
  <c r="F91"/>
  <c r="J111"/>
  <c r="J202"/>
  <c r="F84"/>
  <c r="I84"/>
  <c r="J132"/>
  <c r="C71"/>
  <c r="H91"/>
  <c r="D100"/>
  <c r="I111"/>
  <c r="C160"/>
  <c r="H160"/>
  <c r="D256"/>
  <c r="I205"/>
  <c r="I257" s="1"/>
  <c r="J44"/>
  <c r="J84"/>
  <c r="D132"/>
  <c r="F44"/>
  <c r="I71"/>
  <c r="B152"/>
  <c r="B148" s="1"/>
  <c r="F160"/>
  <c r="I160"/>
  <c r="J31"/>
  <c r="J71"/>
  <c r="J91"/>
  <c r="J160"/>
  <c r="J142"/>
  <c r="J205"/>
  <c r="J257" s="1"/>
  <c r="J12"/>
  <c r="J29" s="1"/>
  <c r="J152"/>
  <c r="J189"/>
  <c r="J185" s="1"/>
  <c r="I167"/>
  <c r="I256"/>
  <c r="J256"/>
  <c r="I189"/>
  <c r="I185" s="1"/>
  <c r="C205"/>
  <c r="C202" s="1"/>
  <c r="C56"/>
  <c r="F257"/>
  <c r="H173"/>
  <c r="H172" s="1"/>
  <c r="D202"/>
  <c r="B205"/>
  <c r="B202" s="1"/>
  <c r="I44"/>
  <c r="C91"/>
  <c r="C111"/>
  <c r="B121"/>
  <c r="F121"/>
  <c r="F142"/>
  <c r="I142"/>
  <c r="D152"/>
  <c r="H152"/>
  <c r="F152"/>
  <c r="I152"/>
  <c r="D257"/>
  <c r="H257"/>
  <c r="F202"/>
  <c r="H202"/>
  <c r="H29"/>
  <c r="C256"/>
  <c r="H45"/>
  <c r="H44" s="1"/>
  <c r="B29"/>
  <c r="I29"/>
  <c r="D91"/>
  <c r="H111"/>
  <c r="I121"/>
  <c r="C152"/>
  <c r="C148" s="1"/>
  <c r="D31"/>
  <c r="C31"/>
  <c r="B153"/>
  <c r="B256" s="1"/>
  <c r="B56"/>
  <c r="F56"/>
  <c r="I56"/>
  <c r="G256" l="1"/>
  <c r="G258"/>
  <c r="E172"/>
  <c r="E258" s="1"/>
  <c r="E256"/>
  <c r="I202"/>
  <c r="I258" s="1"/>
  <c r="B257"/>
  <c r="F258"/>
  <c r="H258"/>
  <c r="D258"/>
  <c r="H256"/>
  <c r="C257"/>
  <c r="J258"/>
  <c r="B258"/>
  <c r="B259" s="1"/>
  <c r="C258"/>
  <c r="C259" s="1"/>
</calcChain>
</file>

<file path=xl/comments1.xml><?xml version="1.0" encoding="utf-8"?>
<comments xmlns="http://schemas.openxmlformats.org/spreadsheetml/2006/main">
  <authors>
    <author>378</author>
  </authors>
  <commentList>
    <comment ref="D132" authorId="0">
      <text>
        <r>
          <rPr>
            <b/>
            <sz val="8"/>
            <color indexed="81"/>
            <rFont val="Tahoma"/>
            <family val="2"/>
            <charset val="238"/>
          </rPr>
          <t>378:</t>
        </r>
        <r>
          <rPr>
            <sz val="8"/>
            <color indexed="81"/>
            <rFont val="Tahoma"/>
            <family val="2"/>
            <charset val="238"/>
          </rPr>
          <t xml:space="preserve">
vč.revize 4810
</t>
        </r>
      </text>
    </comment>
    <comment ref="F132" authorId="0">
      <text>
        <r>
          <rPr>
            <b/>
            <sz val="8"/>
            <color indexed="81"/>
            <rFont val="Tahoma"/>
            <family val="2"/>
            <charset val="238"/>
          </rPr>
          <t>378:</t>
        </r>
        <r>
          <rPr>
            <sz val="8"/>
            <color indexed="81"/>
            <rFont val="Tahoma"/>
            <family val="2"/>
            <charset val="238"/>
          </rPr>
          <t xml:space="preserve">
vč.revize 4810
</t>
        </r>
      </text>
    </comment>
  </commentList>
</comments>
</file>

<file path=xl/sharedStrings.xml><?xml version="1.0" encoding="utf-8"?>
<sst xmlns="http://schemas.openxmlformats.org/spreadsheetml/2006/main" count="254" uniqueCount="156">
  <si>
    <t>(v tis. Kč)</t>
  </si>
  <si>
    <t>UKAZATEL</t>
  </si>
  <si>
    <t>Schválený rozpočet 
na rok 2007</t>
  </si>
  <si>
    <t>Schválený rozpočet
 na rok 2008</t>
  </si>
  <si>
    <t xml:space="preserve">PŘÍJMY    </t>
  </si>
  <si>
    <t>tř. 1 - Daňové příjmy</t>
  </si>
  <si>
    <t>tř. 2 - Nedaňové příjmy</t>
  </si>
  <si>
    <t xml:space="preserve">v tom: </t>
  </si>
  <si>
    <t>přijaté úroky</t>
  </si>
  <si>
    <t xml:space="preserve">platby za odebr. mn.podzemní vody </t>
  </si>
  <si>
    <t>odvody PO</t>
  </si>
  <si>
    <t xml:space="preserve">    v tom odvětví: školství</t>
  </si>
  <si>
    <t xml:space="preserve">                        zdravotnictví</t>
  </si>
  <si>
    <t xml:space="preserve">                        kultury</t>
  </si>
  <si>
    <t xml:space="preserve">                        soc.věcí</t>
  </si>
  <si>
    <t>tř. 4 - Neinvestiční přijaté dotace</t>
  </si>
  <si>
    <t>v tom:</t>
  </si>
  <si>
    <t xml:space="preserve">  neinv.d.ze SR v rámci souhrn.dot.vztahu</t>
  </si>
  <si>
    <t xml:space="preserve">  od obcí</t>
  </si>
  <si>
    <t>PŘÍJMY CELKEM</t>
  </si>
  <si>
    <t>VÝDAJE</t>
  </si>
  <si>
    <t>kap. 18 - zastupitelstvo kraje</t>
  </si>
  <si>
    <t>běžné výdaje</t>
  </si>
  <si>
    <t>odměny vč. refundací</t>
  </si>
  <si>
    <t>pohoštění a dary</t>
  </si>
  <si>
    <t>ostatní běžné výdaje</t>
  </si>
  <si>
    <t>ostatní příspěvky a dary</t>
  </si>
  <si>
    <t>kapitálové výdaje</t>
  </si>
  <si>
    <t>kap. 19 - činnost krajského úřadu</t>
  </si>
  <si>
    <t>pohoštění</t>
  </si>
  <si>
    <t>pronájem služeb a prostor v RC NP</t>
  </si>
  <si>
    <t>krizové plánování</t>
  </si>
  <si>
    <t>kap. 02 - životní prostředí a zemědělství</t>
  </si>
  <si>
    <t xml:space="preserve">vodohosp.akce dle vodního zákona </t>
  </si>
  <si>
    <t>ostatní kapitálové výdaje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</si>
  <si>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</si>
  <si>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</si>
  <si>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</si>
  <si>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</si>
  <si>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</si>
  <si>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</si>
  <si>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 xml:space="preserve">kap. 11 - cestovní ruch </t>
  </si>
  <si>
    <t>kap. 12 - správa majetku kraje</t>
  </si>
  <si>
    <t>zajištění správy majetku kraje</t>
  </si>
  <si>
    <t>kap. 13 - evropská integrace</t>
  </si>
  <si>
    <t>příspěvek PO na provoz - Centrum EP</t>
  </si>
  <si>
    <t>kap. 14 - školství</t>
  </si>
  <si>
    <t xml:space="preserve">běžné výdaje                     </t>
  </si>
  <si>
    <t xml:space="preserve">ostatní běžné výdaje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</si>
  <si>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</si>
  <si>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</si>
  <si>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</si>
  <si>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</si>
  <si>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</si>
  <si>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>příspěvek PO na provoz</t>
  </si>
  <si>
    <t>kap. 39 - regionální rozvoj</t>
  </si>
  <si>
    <t xml:space="preserve">kap. 40 - územní plánování </t>
  </si>
  <si>
    <t>kap. 41 - rez.a ost.výd.netýk.se odv.</t>
  </si>
  <si>
    <t>ostatní běžné výdaje          (úroky)</t>
  </si>
  <si>
    <t xml:space="preserve">            v tom pro odvětví:</t>
  </si>
  <si>
    <t xml:space="preserve">               - životní prostředí a zemědělství</t>
  </si>
  <si>
    <t xml:space="preserve">               - volnočasové aktivity</t>
  </si>
  <si>
    <t xml:space="preserve">               - cestovní ruch</t>
  </si>
  <si>
    <t xml:space="preserve">               - školství</t>
  </si>
  <si>
    <t xml:space="preserve">               - kultura</t>
  </si>
  <si>
    <t xml:space="preserve">               - regionální rozvoj</t>
  </si>
  <si>
    <t xml:space="preserve">              v tom: běžné výdaje</t>
  </si>
  <si>
    <t xml:space="preserve">                        kapitálové výdaje</t>
  </si>
  <si>
    <t xml:space="preserve">              v tom: běžné výdaje celkem</t>
  </si>
  <si>
    <t xml:space="preserve">                           - evrop.integrace</t>
  </si>
  <si>
    <t xml:space="preserve">                           - doprava</t>
  </si>
  <si>
    <t xml:space="preserve">                           - školství</t>
  </si>
  <si>
    <t>v tom pro odvětví:</t>
  </si>
  <si>
    <t xml:space="preserve">zastupitelstvo kraje </t>
  </si>
  <si>
    <t xml:space="preserve"> v tom: kapitálové výdaje odvětví</t>
  </si>
  <si>
    <t xml:space="preserve">           nerozděleno</t>
  </si>
  <si>
    <t xml:space="preserve">činnost krajského úřadu </t>
  </si>
  <si>
    <t>doprava</t>
  </si>
  <si>
    <t xml:space="preserve">  v tom: PO - investiční transfery</t>
  </si>
  <si>
    <t xml:space="preserve">            kapitálové výdaje odvětví</t>
  </si>
  <si>
    <t xml:space="preserve">cestovní ruch </t>
  </si>
  <si>
    <t xml:space="preserve">správa majetku kraje </t>
  </si>
  <si>
    <t xml:space="preserve"> v tom: běžné výdaje odvětví</t>
  </si>
  <si>
    <t>školství</t>
  </si>
  <si>
    <t xml:space="preserve"> v tom: PO - investiční transfery</t>
  </si>
  <si>
    <t xml:space="preserve">           kapitálové výdaje odvětví</t>
  </si>
  <si>
    <t>zdravotnictví</t>
  </si>
  <si>
    <t xml:space="preserve">           investiční transfery a.s.</t>
  </si>
  <si>
    <t xml:space="preserve">           běžné výdaje odvětví</t>
  </si>
  <si>
    <t>kultura</t>
  </si>
  <si>
    <t xml:space="preserve"> v tom: PO - investiční transfey</t>
  </si>
  <si>
    <t xml:space="preserve">                - neinvestiční transfery</t>
  </si>
  <si>
    <t xml:space="preserve">          kapitálové výdaje odvětví</t>
  </si>
  <si>
    <t>sociální věci</t>
  </si>
  <si>
    <t>tř. 5 - Běžné výdaje</t>
  </si>
  <si>
    <t>tř. 6 - Kapitálové výdaje</t>
  </si>
  <si>
    <t>VÝDAJE CELKEM</t>
  </si>
  <si>
    <t>tř. 8 - Financování</t>
  </si>
  <si>
    <t>splátky úvěru</t>
  </si>
  <si>
    <t>přijaté úvěry</t>
  </si>
  <si>
    <t>Schválený rozpočet
 na rok 2010</t>
  </si>
  <si>
    <t xml:space="preserve">běžné výdaje </t>
  </si>
  <si>
    <t xml:space="preserve">běžné výdaje    </t>
  </si>
  <si>
    <t xml:space="preserve">běžné výdaje  </t>
  </si>
  <si>
    <r>
      <t xml:space="preserve">soustředěné pojištění majetku kraje </t>
    </r>
    <r>
      <rPr>
        <sz val="10"/>
        <color indexed="10"/>
        <rFont val="Arial CE"/>
        <charset val="238"/>
      </rPr>
      <t xml:space="preserve"> </t>
    </r>
  </si>
  <si>
    <t xml:space="preserve">běžné výdaje                                      </t>
  </si>
  <si>
    <t xml:space="preserve">                           - kultura</t>
  </si>
  <si>
    <t xml:space="preserve">                           - regionální rozvoj</t>
  </si>
  <si>
    <t xml:space="preserve">           neinvestiční transfery a.s.</t>
  </si>
  <si>
    <t>poplatky</t>
  </si>
  <si>
    <t xml:space="preserve">           PO - investiční transfery</t>
  </si>
  <si>
    <t>sdílené daně</t>
  </si>
  <si>
    <t xml:space="preserve">                        dopravy</t>
  </si>
  <si>
    <t xml:space="preserve">                           - životní prostředí</t>
  </si>
  <si>
    <t xml:space="preserve">                           - zdravotnictví</t>
  </si>
  <si>
    <t xml:space="preserve">                           - sociální věci</t>
  </si>
  <si>
    <t>příjmy z pronájmu majetku - odv.doprava</t>
  </si>
  <si>
    <t>Schválený rozpočet
 na rok 2011</t>
  </si>
  <si>
    <t>Skutečnost rok 2010</t>
  </si>
  <si>
    <t xml:space="preserve">řešení havarijních situací </t>
  </si>
  <si>
    <t>kap. 49 - Regionální inovační fond</t>
  </si>
  <si>
    <t>nerozděleno na odvětví</t>
  </si>
  <si>
    <t>dotace na sociální služby</t>
  </si>
  <si>
    <t>neinvestiční transfer a.s. ZOO</t>
  </si>
  <si>
    <t>neinvestiční transfer s.r.o. OREDO</t>
  </si>
  <si>
    <t>neinvestiční transfery a.s.</t>
  </si>
  <si>
    <t>životní prostředí a zemědělství</t>
  </si>
  <si>
    <t>v tom: investiční transfery a.s.</t>
  </si>
  <si>
    <t>zóna Solnice Kvasiny</t>
  </si>
  <si>
    <t>Skutečnost rok 2011</t>
  </si>
  <si>
    <t xml:space="preserve">Návrh rozpočtu 
na rok 2013 
EO
</t>
  </si>
  <si>
    <t>kap. 48 - Dotační fond KHK od r. 2013</t>
  </si>
  <si>
    <t>v tom: program obnovy venkova</t>
  </si>
  <si>
    <t xml:space="preserve">             kofinancování a předfinancování</t>
  </si>
  <si>
    <t xml:space="preserve">POV, kofinancování a předfin. 
</t>
  </si>
  <si>
    <t xml:space="preserve">                           - činnost KÚ</t>
  </si>
  <si>
    <t>kap. 50 - FRR KHK</t>
  </si>
  <si>
    <t>neinv.dot.městu Trutnov na čin.muzea</t>
  </si>
  <si>
    <t>dotace pro RRRS SV</t>
  </si>
  <si>
    <t>povinné pojistné placené zam.</t>
  </si>
  <si>
    <t>platy zam. a ost.pl.za prov.práci</t>
  </si>
  <si>
    <t>př.z pronáj.majetku - odv.zdravotnictví</t>
  </si>
  <si>
    <t>ostatní běžné výdaje - EPC</t>
  </si>
  <si>
    <t xml:space="preserve">                         - příspěvek PO na provoz</t>
  </si>
  <si>
    <t xml:space="preserve">                         - investiční dotace PO</t>
  </si>
  <si>
    <t>v tom: Centrum EP-centrum sdílených sl.:</t>
  </si>
  <si>
    <t xml:space="preserve">            rezerva - inv.</t>
  </si>
  <si>
    <t xml:space="preserve">Schválený rozpočet na rok 2012 </t>
  </si>
  <si>
    <t>ostatní kapitálové výdaje - EPC</t>
  </si>
  <si>
    <t>Příloha č. 1</t>
  </si>
  <si>
    <t>rezerva - z toho pro r. 2013 blokováno 29 mil. Kč na akce zóny Vrchlabí</t>
  </si>
  <si>
    <t xml:space="preserve">Schválený rozpočet
na rok 2013 </t>
  </si>
  <si>
    <t xml:space="preserve">Bilance příjmů a výdajů rozpočtu Královéhradeckého kraje </t>
  </si>
  <si>
    <t>Rozpočet KHK na r. 2013 byl schválen usn. č. ZK/29/2079/2012</t>
  </si>
  <si>
    <t>tř. 3 - Kapitálové příjmy</t>
  </si>
  <si>
    <t>ost.kap.v.- Modernizace a dostavba ON Náchod - úvěr</t>
  </si>
</sst>
</file>

<file path=xl/styles.xml><?xml version="1.0" encoding="utf-8"?>
<styleSheet xmlns="http://schemas.openxmlformats.org/spreadsheetml/2006/main">
  <numFmts count="5">
    <numFmt numFmtId="43" formatCode="_-* #,##0.00\ _K_č_-;\-* #,##0.00\ _K_č_-;_-* &quot;-&quot;??\ _K_č_-;_-@_-"/>
    <numFmt numFmtId="164" formatCode="#,##0\ _K_č"/>
    <numFmt numFmtId="165" formatCode="#,##0.0\ _K_č"/>
    <numFmt numFmtId="166" formatCode="#,##0.0_ ;\-#,##0.0\ "/>
    <numFmt numFmtId="167" formatCode="#,##0.0"/>
  </numFmts>
  <fonts count="2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 CE"/>
      <charset val="238"/>
    </font>
    <font>
      <sz val="8"/>
      <color rgb="FFFF0000"/>
      <name val="Arial CE"/>
      <charset val="238"/>
    </font>
    <font>
      <sz val="9"/>
      <name val="Arial CE"/>
      <family val="2"/>
      <charset val="238"/>
    </font>
    <font>
      <sz val="7"/>
      <color rgb="FFFF0000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b/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3" fontId="0" fillId="0" borderId="0" xfId="0"/>
    <xf numFmtId="3" fontId="3" fillId="0" borderId="2" xfId="0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3" fontId="3" fillId="0" borderId="3" xfId="0" applyFont="1" applyFill="1" applyBorder="1" applyAlignment="1">
      <alignment horizontal="left" vertical="center"/>
    </xf>
    <xf numFmtId="165" fontId="3" fillId="0" borderId="3" xfId="1" applyNumberFormat="1" applyFont="1" applyFill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3" fontId="3" fillId="2" borderId="3" xfId="0" applyFont="1" applyFill="1" applyBorder="1"/>
    <xf numFmtId="165" fontId="3" fillId="2" borderId="3" xfId="1" applyNumberFormat="1" applyFont="1" applyFill="1" applyBorder="1"/>
    <xf numFmtId="166" fontId="3" fillId="2" borderId="3" xfId="1" applyNumberFormat="1" applyFont="1" applyFill="1" applyBorder="1"/>
    <xf numFmtId="166" fontId="3" fillId="2" borderId="4" xfId="1" applyNumberFormat="1" applyFont="1" applyFill="1" applyBorder="1"/>
    <xf numFmtId="3" fontId="5" fillId="0" borderId="3" xfId="0" applyFont="1" applyFill="1" applyBorder="1"/>
    <xf numFmtId="165" fontId="3" fillId="0" borderId="3" xfId="1" applyNumberFormat="1" applyFont="1" applyFill="1" applyBorder="1"/>
    <xf numFmtId="166" fontId="3" fillId="0" borderId="3" xfId="1" applyNumberFormat="1" applyFont="1" applyFill="1" applyBorder="1"/>
    <xf numFmtId="166" fontId="3" fillId="0" borderId="4" xfId="1" applyNumberFormat="1" applyFont="1" applyFill="1" applyBorder="1"/>
    <xf numFmtId="3" fontId="6" fillId="0" borderId="3" xfId="0" applyFont="1" applyFill="1" applyBorder="1"/>
    <xf numFmtId="165" fontId="6" fillId="0" borderId="3" xfId="1" applyNumberFormat="1" applyFont="1" applyFill="1" applyBorder="1"/>
    <xf numFmtId="166" fontId="1" fillId="0" borderId="3" xfId="1" applyNumberFormat="1" applyFont="1" applyFill="1" applyBorder="1"/>
    <xf numFmtId="166" fontId="1" fillId="0" borderId="4" xfId="1" applyNumberFormat="1" applyFont="1" applyFill="1" applyBorder="1"/>
    <xf numFmtId="3" fontId="7" fillId="3" borderId="5" xfId="0" applyFont="1" applyFill="1" applyBorder="1" applyAlignment="1">
      <alignment vertical="center"/>
    </xf>
    <xf numFmtId="165" fontId="3" fillId="3" borderId="5" xfId="1" applyNumberFormat="1" applyFont="1" applyFill="1" applyBorder="1" applyAlignment="1">
      <alignment vertical="center"/>
    </xf>
    <xf numFmtId="166" fontId="3" fillId="3" borderId="5" xfId="1" applyNumberFormat="1" applyFont="1" applyFill="1" applyBorder="1" applyAlignment="1">
      <alignment vertical="center"/>
    </xf>
    <xf numFmtId="3" fontId="3" fillId="0" borderId="3" xfId="0" applyFont="1" applyFill="1" applyBorder="1"/>
    <xf numFmtId="166" fontId="0" fillId="0" borderId="6" xfId="0" applyNumberFormat="1" applyBorder="1"/>
    <xf numFmtId="3" fontId="8" fillId="0" borderId="3" xfId="0" applyFont="1" applyFill="1" applyBorder="1"/>
    <xf numFmtId="165" fontId="8" fillId="0" borderId="3" xfId="1" applyNumberFormat="1" applyFont="1" applyFill="1" applyBorder="1"/>
    <xf numFmtId="166" fontId="8" fillId="0" borderId="3" xfId="1" applyNumberFormat="1" applyFont="1" applyFill="1" applyBorder="1"/>
    <xf numFmtId="166" fontId="0" fillId="0" borderId="3" xfId="0" applyNumberFormat="1" applyBorder="1"/>
    <xf numFmtId="166" fontId="0" fillId="0" borderId="4" xfId="0" applyNumberFormat="1" applyBorder="1"/>
    <xf numFmtId="3" fontId="6" fillId="0" borderId="7" xfId="0" applyFont="1" applyFill="1" applyBorder="1"/>
    <xf numFmtId="165" fontId="6" fillId="0" borderId="7" xfId="1" applyNumberFormat="1" applyFont="1" applyFill="1" applyBorder="1"/>
    <xf numFmtId="166" fontId="1" fillId="0" borderId="7" xfId="1" applyNumberFormat="1" applyFont="1" applyFill="1" applyBorder="1"/>
    <xf numFmtId="166" fontId="1" fillId="0" borderId="8" xfId="1" applyNumberFormat="1" applyFont="1" applyFill="1" applyBorder="1"/>
    <xf numFmtId="165" fontId="6" fillId="0" borderId="3" xfId="1" applyNumberFormat="1" applyFont="1" applyFill="1" applyBorder="1" applyAlignment="1">
      <alignment vertical="center"/>
    </xf>
    <xf numFmtId="166" fontId="6" fillId="0" borderId="3" xfId="1" applyNumberFormat="1" applyFont="1" applyFill="1" applyBorder="1"/>
    <xf numFmtId="166" fontId="6" fillId="0" borderId="4" xfId="1" applyNumberFormat="1" applyFont="1" applyFill="1" applyBorder="1"/>
    <xf numFmtId="166" fontId="6" fillId="0" borderId="7" xfId="1" applyNumberFormat="1" applyFont="1" applyFill="1" applyBorder="1"/>
    <xf numFmtId="166" fontId="6" fillId="0" borderId="8" xfId="1" applyNumberFormat="1" applyFont="1" applyFill="1" applyBorder="1"/>
    <xf numFmtId="166" fontId="10" fillId="0" borderId="7" xfId="1" applyNumberFormat="1" applyFont="1" applyFill="1" applyBorder="1"/>
    <xf numFmtId="3" fontId="11" fillId="0" borderId="3" xfId="0" applyFont="1" applyFill="1" applyBorder="1"/>
    <xf numFmtId="3" fontId="11" fillId="0" borderId="7" xfId="0" applyFont="1" applyFill="1" applyBorder="1"/>
    <xf numFmtId="166" fontId="12" fillId="0" borderId="4" xfId="0" applyNumberFormat="1" applyFont="1" applyBorder="1"/>
    <xf numFmtId="166" fontId="10" fillId="0" borderId="4" xfId="0" applyNumberFormat="1" applyFont="1" applyBorder="1" applyAlignment="1">
      <alignment horizontal="center"/>
    </xf>
    <xf numFmtId="165" fontId="3" fillId="2" borderId="3" xfId="1" applyNumberFormat="1" applyFont="1" applyFill="1" applyBorder="1" applyAlignment="1">
      <alignment vertical="center"/>
    </xf>
    <xf numFmtId="166" fontId="3" fillId="2" borderId="3" xfId="1" applyNumberFormat="1" applyFont="1" applyFill="1" applyBorder="1" applyAlignment="1">
      <alignment vertical="center"/>
    </xf>
    <xf numFmtId="3" fontId="13" fillId="0" borderId="3" xfId="0" applyFont="1" applyFill="1" applyBorder="1"/>
    <xf numFmtId="165" fontId="13" fillId="0" borderId="3" xfId="1" applyNumberFormat="1" applyFont="1" applyFill="1" applyBorder="1" applyAlignment="1"/>
    <xf numFmtId="166" fontId="13" fillId="0" borderId="3" xfId="1" applyNumberFormat="1" applyFont="1" applyFill="1" applyBorder="1"/>
    <xf numFmtId="165" fontId="6" fillId="0" borderId="3" xfId="1" applyNumberFormat="1" applyFont="1" applyFill="1" applyBorder="1" applyAlignment="1"/>
    <xf numFmtId="166" fontId="6" fillId="0" borderId="3" xfId="1" applyNumberFormat="1" applyFont="1" applyFill="1" applyBorder="1" applyAlignment="1"/>
    <xf numFmtId="166" fontId="6" fillId="0" borderId="4" xfId="1" applyNumberFormat="1" applyFont="1" applyFill="1" applyBorder="1" applyAlignment="1"/>
    <xf numFmtId="165" fontId="6" fillId="0" borderId="7" xfId="1" applyNumberFormat="1" applyFont="1" applyFill="1" applyBorder="1" applyAlignment="1"/>
    <xf numFmtId="165" fontId="13" fillId="0" borderId="3" xfId="1" applyNumberFormat="1" applyFont="1" applyFill="1" applyBorder="1"/>
    <xf numFmtId="166" fontId="6" fillId="0" borderId="9" xfId="1" applyNumberFormat="1" applyFont="1" applyFill="1" applyBorder="1"/>
    <xf numFmtId="3" fontId="3" fillId="0" borderId="6" xfId="0" applyFont="1" applyFill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166" fontId="3" fillId="0" borderId="6" xfId="1" applyNumberFormat="1" applyFont="1" applyFill="1" applyBorder="1" applyAlignment="1">
      <alignment vertical="center"/>
    </xf>
    <xf numFmtId="3" fontId="3" fillId="0" borderId="3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vertical="center"/>
    </xf>
    <xf numFmtId="3" fontId="7" fillId="4" borderId="3" xfId="0" applyFont="1" applyFill="1" applyBorder="1" applyAlignment="1">
      <alignment vertical="center"/>
    </xf>
    <xf numFmtId="165" fontId="3" fillId="4" borderId="3" xfId="1" applyNumberFormat="1" applyFont="1" applyFill="1" applyBorder="1" applyAlignment="1">
      <alignment vertical="center"/>
    </xf>
    <xf numFmtId="166" fontId="3" fillId="4" borderId="3" xfId="1" applyNumberFormat="1" applyFont="1" applyFill="1" applyBorder="1" applyAlignment="1">
      <alignment vertical="center"/>
    </xf>
    <xf numFmtId="3" fontId="6" fillId="0" borderId="3" xfId="0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  <xf numFmtId="165" fontId="1" fillId="0" borderId="0" xfId="2" applyNumberFormat="1"/>
    <xf numFmtId="166" fontId="0" fillId="0" borderId="0" xfId="0" applyNumberFormat="1"/>
    <xf numFmtId="3" fontId="2" fillId="0" borderId="0" xfId="0" applyFont="1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64" fontId="0" fillId="0" borderId="0" xfId="0" applyNumberFormat="1"/>
    <xf numFmtId="3" fontId="14" fillId="0" borderId="0" xfId="0" applyFont="1"/>
    <xf numFmtId="3" fontId="1" fillId="0" borderId="0" xfId="0" applyFont="1"/>
    <xf numFmtId="164" fontId="1" fillId="0" borderId="0" xfId="2" applyNumberFormat="1"/>
    <xf numFmtId="166" fontId="1" fillId="0" borderId="3" xfId="1" applyNumberFormat="1" applyFont="1" applyFill="1" applyBorder="1" applyAlignment="1">
      <alignment vertical="center"/>
    </xf>
    <xf numFmtId="167" fontId="3" fillId="2" borderId="3" xfId="0" applyNumberFormat="1" applyFont="1" applyFill="1" applyBorder="1"/>
    <xf numFmtId="3" fontId="0" fillId="0" borderId="3" xfId="0" applyFont="1" applyFill="1" applyBorder="1"/>
    <xf numFmtId="166" fontId="17" fillId="0" borderId="3" xfId="1" applyNumberFormat="1" applyFont="1" applyFill="1" applyBorder="1"/>
    <xf numFmtId="3" fontId="5" fillId="0" borderId="7" xfId="0" applyFont="1" applyFill="1" applyBorder="1"/>
    <xf numFmtId="165" fontId="0" fillId="0" borderId="0" xfId="0" applyNumberFormat="1" applyFill="1"/>
    <xf numFmtId="165" fontId="18" fillId="0" borderId="4" xfId="0" applyNumberFormat="1" applyFont="1" applyBorder="1"/>
    <xf numFmtId="3" fontId="0" fillId="0" borderId="0" xfId="0" applyFill="1"/>
    <xf numFmtId="3" fontId="6" fillId="0" borderId="9" xfId="0" applyFont="1" applyFill="1" applyBorder="1"/>
    <xf numFmtId="165" fontId="6" fillId="0" borderId="9" xfId="1" applyNumberFormat="1" applyFont="1" applyFill="1" applyBorder="1"/>
    <xf numFmtId="166" fontId="6" fillId="0" borderId="10" xfId="1" applyNumberFormat="1" applyFont="1" applyFill="1" applyBorder="1"/>
    <xf numFmtId="166" fontId="0" fillId="0" borderId="3" xfId="0" applyNumberFormat="1" applyFill="1" applyBorder="1"/>
    <xf numFmtId="3" fontId="0" fillId="0" borderId="0" xfId="0" applyAlignment="1">
      <alignment horizontal="right"/>
    </xf>
    <xf numFmtId="164" fontId="4" fillId="5" borderId="2" xfId="2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/>
    <xf numFmtId="166" fontId="6" fillId="0" borderId="8" xfId="1" applyNumberFormat="1" applyFont="1" applyFill="1" applyBorder="1" applyAlignment="1"/>
    <xf numFmtId="3" fontId="19" fillId="0" borderId="3" xfId="0" applyFont="1" applyFill="1" applyBorder="1"/>
    <xf numFmtId="166" fontId="19" fillId="0" borderId="3" xfId="1" applyNumberFormat="1" applyFont="1" applyFill="1" applyBorder="1"/>
    <xf numFmtId="164" fontId="4" fillId="6" borderId="2" xfId="2" applyNumberFormat="1" applyFont="1" applyFill="1" applyBorder="1" applyAlignment="1">
      <alignment horizontal="center" vertical="center" wrapText="1"/>
    </xf>
    <xf numFmtId="166" fontId="0" fillId="0" borderId="7" xfId="0" applyNumberFormat="1" applyBorder="1"/>
    <xf numFmtId="166" fontId="0" fillId="0" borderId="8" xfId="0" applyNumberFormat="1" applyBorder="1"/>
    <xf numFmtId="166" fontId="0" fillId="0" borderId="7" xfId="0" applyNumberFormat="1" applyFill="1" applyBorder="1"/>
    <xf numFmtId="3" fontId="1" fillId="0" borderId="1" xfId="0" applyFont="1" applyBorder="1" applyAlignment="1">
      <alignment vertical="center" wrapText="1"/>
    </xf>
    <xf numFmtId="3" fontId="6" fillId="0" borderId="3" xfId="0" applyFont="1" applyFill="1" applyBorder="1" applyAlignment="1">
      <alignment wrapText="1"/>
    </xf>
    <xf numFmtId="3" fontId="2" fillId="0" borderId="0" xfId="0" applyFont="1" applyAlignment="1">
      <alignment horizontal="center" vertical="center" wrapText="1"/>
    </xf>
    <xf numFmtId="3" fontId="1" fillId="0" borderId="0" xfId="0" applyFont="1" applyBorder="1" applyAlignment="1">
      <alignment horizontal="center" wrapText="1"/>
    </xf>
    <xf numFmtId="3" fontId="20" fillId="0" borderId="0" xfId="0" applyFont="1" applyAlignment="1">
      <alignment vertical="center"/>
    </xf>
  </cellXfs>
  <cellStyles count="3">
    <cellStyle name="čárky" xfId="1" builtinId="3"/>
    <cellStyle name="měny" xfId="2" builtinId="4"/>
    <cellStyle name="normální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9"/>
  <sheetViews>
    <sheetView tabSelected="1" zoomScaleNormal="100" zoomScaleSheetLayoutView="100" workbookViewId="0">
      <pane ySplit="7" topLeftCell="A239" activePane="bottomLeft" state="frozen"/>
      <selection pane="bottomLeft" activeCell="P135" sqref="P135"/>
    </sheetView>
  </sheetViews>
  <sheetFormatPr defaultRowHeight="12.75"/>
  <cols>
    <col min="1" max="1" width="45.5703125" customWidth="1"/>
    <col min="2" max="2" width="18.7109375" style="76" hidden="1" customWidth="1"/>
    <col min="3" max="3" width="11.28515625" hidden="1" customWidth="1"/>
    <col min="4" max="4" width="11" hidden="1" customWidth="1"/>
    <col min="5" max="7" width="11.28515625" hidden="1" customWidth="1"/>
    <col min="8" max="8" width="17.7109375" customWidth="1"/>
    <col min="9" max="9" width="11.28515625" hidden="1" customWidth="1"/>
    <col min="10" max="10" width="17.7109375" customWidth="1"/>
  </cols>
  <sheetData>
    <row r="1" spans="1:10" ht="21" customHeight="1">
      <c r="A1" s="103" t="s">
        <v>153</v>
      </c>
    </row>
    <row r="2" spans="1:10">
      <c r="A2" s="84"/>
      <c r="H2" s="89"/>
      <c r="J2" s="89" t="s">
        <v>149</v>
      </c>
    </row>
    <row r="3" spans="1:10" ht="15" customHeight="1"/>
    <row r="4" spans="1:10" ht="36.75" customHeight="1">
      <c r="A4" s="101" t="s">
        <v>152</v>
      </c>
      <c r="B4" s="101"/>
      <c r="C4" s="101"/>
      <c r="D4" s="101"/>
      <c r="E4" s="101"/>
      <c r="F4" s="101"/>
      <c r="G4" s="101"/>
      <c r="H4" s="101"/>
      <c r="I4" s="101"/>
      <c r="J4" s="101"/>
    </row>
    <row r="5" spans="1:10" ht="17.25" customHeight="1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</row>
    <row r="6" spans="1:10" ht="15" customHeight="1" thickBot="1">
      <c r="A6" s="99"/>
      <c r="B6" s="99"/>
      <c r="C6" s="99"/>
      <c r="D6" s="99"/>
      <c r="E6" s="99"/>
      <c r="F6" s="99"/>
      <c r="G6" s="99"/>
      <c r="H6" s="99"/>
      <c r="I6" s="99"/>
    </row>
    <row r="7" spans="1:10" ht="49.5" customHeight="1" thickBot="1">
      <c r="A7" s="1" t="s">
        <v>1</v>
      </c>
      <c r="B7" s="2" t="s">
        <v>2</v>
      </c>
      <c r="C7" s="2" t="s">
        <v>3</v>
      </c>
      <c r="D7" s="2" t="s">
        <v>100</v>
      </c>
      <c r="E7" s="2" t="s">
        <v>118</v>
      </c>
      <c r="F7" s="2" t="s">
        <v>117</v>
      </c>
      <c r="G7" s="2" t="s">
        <v>129</v>
      </c>
      <c r="H7" s="90" t="s">
        <v>147</v>
      </c>
      <c r="I7" s="2" t="s">
        <v>130</v>
      </c>
      <c r="J7" s="95" t="s">
        <v>151</v>
      </c>
    </row>
    <row r="8" spans="1:10" ht="15" customHeight="1">
      <c r="A8" s="3" t="s">
        <v>4</v>
      </c>
      <c r="B8" s="4"/>
      <c r="C8" s="5"/>
      <c r="D8" s="6"/>
      <c r="E8" s="83"/>
      <c r="F8" s="83"/>
      <c r="G8" s="83"/>
      <c r="H8" s="5"/>
      <c r="I8" s="5"/>
      <c r="J8" s="5"/>
    </row>
    <row r="9" spans="1:10">
      <c r="A9" s="7" t="s">
        <v>5</v>
      </c>
      <c r="B9" s="8">
        <v>2650000</v>
      </c>
      <c r="C9" s="9">
        <v>2865000</v>
      </c>
      <c r="D9" s="10">
        <v>2700000</v>
      </c>
      <c r="E9" s="10">
        <v>3019470.7</v>
      </c>
      <c r="F9" s="10">
        <v>2900000</v>
      </c>
      <c r="G9" s="10">
        <f>SUM(G11:G11)</f>
        <v>2997867.1</v>
      </c>
      <c r="H9" s="9">
        <v>2990000</v>
      </c>
      <c r="I9" s="9">
        <v>2990000</v>
      </c>
      <c r="J9" s="9">
        <v>2990000</v>
      </c>
    </row>
    <row r="10" spans="1:10" ht="9.75" customHeight="1">
      <c r="A10" s="11" t="s">
        <v>7</v>
      </c>
      <c r="B10" s="12"/>
      <c r="C10" s="13"/>
      <c r="D10" s="14"/>
      <c r="E10" s="14"/>
      <c r="F10" s="14"/>
      <c r="G10" s="14"/>
      <c r="H10" s="13"/>
      <c r="I10" s="13"/>
      <c r="J10" s="13"/>
    </row>
    <row r="11" spans="1:10">
      <c r="A11" s="79" t="s">
        <v>111</v>
      </c>
      <c r="B11" s="12"/>
      <c r="C11" s="13"/>
      <c r="D11" s="18"/>
      <c r="E11" s="18">
        <v>2975295.8</v>
      </c>
      <c r="F11" s="18"/>
      <c r="G11" s="18">
        <v>2997867.1</v>
      </c>
      <c r="H11" s="17">
        <v>2990000</v>
      </c>
      <c r="I11" s="13"/>
      <c r="J11" s="17">
        <v>2990000</v>
      </c>
    </row>
    <row r="12" spans="1:10">
      <c r="A12" s="7" t="s">
        <v>6</v>
      </c>
      <c r="B12" s="8">
        <f t="shared" ref="B12:J12" si="0">SUM(B14:B18)</f>
        <v>126566</v>
      </c>
      <c r="C12" s="9">
        <f t="shared" si="0"/>
        <v>138280</v>
      </c>
      <c r="D12" s="10">
        <f t="shared" si="0"/>
        <v>193247</v>
      </c>
      <c r="E12" s="9">
        <f t="shared" si="0"/>
        <v>272667.3</v>
      </c>
      <c r="F12" s="10">
        <f t="shared" si="0"/>
        <v>215959.4</v>
      </c>
      <c r="G12" s="10">
        <f t="shared" si="0"/>
        <v>218561.8</v>
      </c>
      <c r="H12" s="9">
        <f t="shared" si="0"/>
        <v>213741.1</v>
      </c>
      <c r="I12" s="9">
        <f t="shared" si="0"/>
        <v>253548.6</v>
      </c>
      <c r="J12" s="9">
        <f t="shared" si="0"/>
        <v>253134.9</v>
      </c>
    </row>
    <row r="13" spans="1:10" ht="9.9499999999999993" customHeight="1">
      <c r="A13" s="11" t="s">
        <v>7</v>
      </c>
      <c r="B13" s="12"/>
      <c r="C13" s="13"/>
      <c r="D13" s="14"/>
      <c r="E13" s="14"/>
      <c r="F13" s="14"/>
      <c r="G13" s="14"/>
      <c r="H13" s="13"/>
      <c r="I13" s="13"/>
      <c r="J13" s="13"/>
    </row>
    <row r="14" spans="1:10">
      <c r="A14" s="15" t="s">
        <v>8</v>
      </c>
      <c r="B14" s="16">
        <v>9000</v>
      </c>
      <c r="C14" s="17">
        <v>15000</v>
      </c>
      <c r="D14" s="18">
        <v>10000</v>
      </c>
      <c r="E14" s="18">
        <v>6522.1</v>
      </c>
      <c r="F14" s="18">
        <v>4000</v>
      </c>
      <c r="G14" s="18">
        <v>8812.9</v>
      </c>
      <c r="H14" s="17">
        <v>4000</v>
      </c>
      <c r="I14" s="17">
        <v>4000</v>
      </c>
      <c r="J14" s="17">
        <v>4000</v>
      </c>
    </row>
    <row r="15" spans="1:10">
      <c r="A15" s="15" t="s">
        <v>9</v>
      </c>
      <c r="B15" s="16">
        <v>40000</v>
      </c>
      <c r="C15" s="17">
        <v>45000</v>
      </c>
      <c r="D15" s="18">
        <v>45000</v>
      </c>
      <c r="E15" s="18">
        <v>33581.699999999997</v>
      </c>
      <c r="F15" s="18">
        <v>45000</v>
      </c>
      <c r="G15" s="18">
        <v>32769.300000000003</v>
      </c>
      <c r="H15" s="17">
        <v>45000</v>
      </c>
      <c r="I15" s="17">
        <v>45000</v>
      </c>
      <c r="J15" s="17">
        <v>45000</v>
      </c>
    </row>
    <row r="16" spans="1:10">
      <c r="A16" s="15" t="s">
        <v>116</v>
      </c>
      <c r="B16" s="16"/>
      <c r="C16" s="17"/>
      <c r="D16" s="18">
        <v>60000</v>
      </c>
      <c r="E16" s="18">
        <v>60601</v>
      </c>
      <c r="F16" s="18">
        <v>54000</v>
      </c>
      <c r="G16" s="18">
        <v>61509.3</v>
      </c>
      <c r="H16" s="17">
        <v>54000</v>
      </c>
      <c r="I16" s="17">
        <v>57526</v>
      </c>
      <c r="J16" s="17">
        <v>57526</v>
      </c>
    </row>
    <row r="17" spans="1:11">
      <c r="A17" s="15" t="s">
        <v>141</v>
      </c>
      <c r="B17" s="16"/>
      <c r="C17" s="17"/>
      <c r="D17" s="18"/>
      <c r="E17" s="18">
        <v>21662.7</v>
      </c>
      <c r="F17" s="18">
        <v>22000</v>
      </c>
      <c r="G17" s="18">
        <v>21475</v>
      </c>
      <c r="H17" s="17">
        <v>21635.1</v>
      </c>
      <c r="I17" s="17">
        <v>21971.1</v>
      </c>
      <c r="J17" s="17">
        <f>21971.1-413.7</f>
        <v>21557.399999999998</v>
      </c>
    </row>
    <row r="18" spans="1:11">
      <c r="A18" s="15" t="s">
        <v>10</v>
      </c>
      <c r="B18" s="16">
        <f t="shared" ref="B18:I18" si="1">SUM(B19:B23)</f>
        <v>77566</v>
      </c>
      <c r="C18" s="17">
        <f t="shared" si="1"/>
        <v>78280</v>
      </c>
      <c r="D18" s="18">
        <f t="shared" si="1"/>
        <v>78247</v>
      </c>
      <c r="E18" s="17">
        <f t="shared" si="1"/>
        <v>150299.80000000002</v>
      </c>
      <c r="F18" s="18">
        <f t="shared" si="1"/>
        <v>90959.4</v>
      </c>
      <c r="G18" s="18">
        <f t="shared" si="1"/>
        <v>93995.3</v>
      </c>
      <c r="H18" s="17">
        <f t="shared" si="1"/>
        <v>89106</v>
      </c>
      <c r="I18" s="17">
        <f t="shared" si="1"/>
        <v>125051.5</v>
      </c>
      <c r="J18" s="17">
        <f t="shared" ref="J18" si="2">SUM(J19:J23)</f>
        <v>125051.5</v>
      </c>
    </row>
    <row r="19" spans="1:11">
      <c r="A19" s="15" t="s">
        <v>11</v>
      </c>
      <c r="B19" s="16">
        <v>26718</v>
      </c>
      <c r="C19" s="17">
        <v>26718</v>
      </c>
      <c r="D19" s="17">
        <v>26718</v>
      </c>
      <c r="E19" s="17">
        <v>32533.9</v>
      </c>
      <c r="F19" s="17">
        <v>26718</v>
      </c>
      <c r="G19" s="17">
        <v>28416</v>
      </c>
      <c r="H19" s="17">
        <v>26718</v>
      </c>
      <c r="I19" s="17">
        <v>41733</v>
      </c>
      <c r="J19" s="17">
        <v>41733</v>
      </c>
    </row>
    <row r="20" spans="1:11">
      <c r="A20" s="15" t="s">
        <v>112</v>
      </c>
      <c r="B20" s="16"/>
      <c r="C20" s="17"/>
      <c r="D20" s="17"/>
      <c r="E20" s="17">
        <v>57701.3</v>
      </c>
      <c r="F20" s="17">
        <v>7293.4</v>
      </c>
      <c r="G20" s="17">
        <v>12826.5</v>
      </c>
      <c r="H20" s="17">
        <v>10000</v>
      </c>
      <c r="I20" s="17">
        <v>10810</v>
      </c>
      <c r="J20" s="17">
        <v>10810</v>
      </c>
      <c r="K20" s="74"/>
    </row>
    <row r="21" spans="1:11">
      <c r="A21" s="15" t="s">
        <v>12</v>
      </c>
      <c r="B21" s="16">
        <v>25574</v>
      </c>
      <c r="C21" s="17">
        <v>26030</v>
      </c>
      <c r="D21" s="17">
        <v>23685</v>
      </c>
      <c r="E21" s="17">
        <v>23685</v>
      </c>
      <c r="F21" s="17">
        <v>21621</v>
      </c>
      <c r="G21" s="17">
        <v>17579.8</v>
      </c>
      <c r="H21" s="17">
        <v>16250</v>
      </c>
      <c r="I21" s="17">
        <v>21684</v>
      </c>
      <c r="J21" s="17">
        <v>21684</v>
      </c>
    </row>
    <row r="22" spans="1:11">
      <c r="A22" s="15" t="s">
        <v>13</v>
      </c>
      <c r="B22" s="16">
        <v>4720</v>
      </c>
      <c r="C22" s="17">
        <v>4175</v>
      </c>
      <c r="D22" s="17">
        <v>10243</v>
      </c>
      <c r="E22" s="17">
        <v>10265.5</v>
      </c>
      <c r="F22" s="17">
        <v>8154</v>
      </c>
      <c r="G22" s="17">
        <v>8154</v>
      </c>
      <c r="H22" s="17">
        <v>8154</v>
      </c>
      <c r="I22" s="17">
        <v>13408.5</v>
      </c>
      <c r="J22" s="17">
        <v>13408.5</v>
      </c>
    </row>
    <row r="23" spans="1:11">
      <c r="A23" s="15" t="s">
        <v>14</v>
      </c>
      <c r="B23" s="16">
        <v>20554</v>
      </c>
      <c r="C23" s="17">
        <v>21357</v>
      </c>
      <c r="D23" s="17">
        <v>17601</v>
      </c>
      <c r="E23" s="17">
        <v>26114.1</v>
      </c>
      <c r="F23" s="17">
        <v>27173</v>
      </c>
      <c r="G23" s="17">
        <v>27019</v>
      </c>
      <c r="H23" s="17">
        <v>27984</v>
      </c>
      <c r="I23" s="17">
        <v>37416</v>
      </c>
      <c r="J23" s="17">
        <v>37416</v>
      </c>
    </row>
    <row r="24" spans="1:11">
      <c r="A24" s="7" t="s">
        <v>154</v>
      </c>
      <c r="B24" s="16"/>
      <c r="C24" s="17"/>
      <c r="D24" s="7"/>
      <c r="E24" s="78">
        <v>42275.199999999997</v>
      </c>
      <c r="F24" s="78">
        <v>18706.599999999999</v>
      </c>
      <c r="G24" s="78">
        <v>25004.6</v>
      </c>
      <c r="H24" s="78">
        <v>18706.599999999999</v>
      </c>
      <c r="I24" s="78">
        <v>18706.599999999999</v>
      </c>
      <c r="J24" s="78">
        <v>18706.599999999999</v>
      </c>
    </row>
    <row r="25" spans="1:11">
      <c r="A25" s="7" t="s">
        <v>15</v>
      </c>
      <c r="B25" s="8">
        <f t="shared" ref="B25:I25" si="3">SUM(B27:B28)</f>
        <v>79147</v>
      </c>
      <c r="C25" s="9">
        <f t="shared" si="3"/>
        <v>78247</v>
      </c>
      <c r="D25" s="10">
        <f>SUM(D27:D28)</f>
        <v>81932</v>
      </c>
      <c r="E25" s="9">
        <f t="shared" si="3"/>
        <v>83956.9</v>
      </c>
      <c r="F25" s="10">
        <f t="shared" si="3"/>
        <v>74800</v>
      </c>
      <c r="G25" s="10">
        <f t="shared" si="3"/>
        <v>76754.100000000006</v>
      </c>
      <c r="H25" s="9">
        <f t="shared" si="3"/>
        <v>72553</v>
      </c>
      <c r="I25" s="9">
        <f t="shared" si="3"/>
        <v>72553</v>
      </c>
      <c r="J25" s="9">
        <f t="shared" ref="J25" si="4">SUM(J27:J28)</f>
        <v>72553</v>
      </c>
    </row>
    <row r="26" spans="1:11" ht="9.9499999999999993" customHeight="1">
      <c r="A26" s="11" t="s">
        <v>16</v>
      </c>
      <c r="B26" s="16"/>
      <c r="C26" s="13"/>
      <c r="D26" s="14"/>
      <c r="E26" s="14"/>
      <c r="F26" s="14"/>
      <c r="G26" s="14"/>
      <c r="H26" s="13"/>
      <c r="I26" s="13"/>
      <c r="J26" s="13"/>
    </row>
    <row r="27" spans="1:11">
      <c r="A27" s="39" t="s">
        <v>17</v>
      </c>
      <c r="B27" s="16">
        <v>78997</v>
      </c>
      <c r="C27" s="17">
        <v>78097</v>
      </c>
      <c r="D27" s="18">
        <v>81782</v>
      </c>
      <c r="E27" s="18">
        <v>81782</v>
      </c>
      <c r="F27" s="18">
        <v>74650</v>
      </c>
      <c r="G27" s="18">
        <v>74650</v>
      </c>
      <c r="H27" s="17">
        <f>74650-3300+953</f>
        <v>72303</v>
      </c>
      <c r="I27" s="17">
        <v>72303</v>
      </c>
      <c r="J27" s="17">
        <v>72303</v>
      </c>
    </row>
    <row r="28" spans="1:11" ht="13.5" thickBot="1">
      <c r="A28" s="15" t="s">
        <v>18</v>
      </c>
      <c r="B28" s="16">
        <v>150</v>
      </c>
      <c r="C28" s="17">
        <v>150</v>
      </c>
      <c r="D28" s="18">
        <v>150</v>
      </c>
      <c r="E28" s="18">
        <v>2174.9</v>
      </c>
      <c r="F28" s="18">
        <v>150</v>
      </c>
      <c r="G28" s="18">
        <v>2104.1</v>
      </c>
      <c r="H28" s="17">
        <v>250</v>
      </c>
      <c r="I28" s="17">
        <v>250</v>
      </c>
      <c r="J28" s="17">
        <v>250</v>
      </c>
    </row>
    <row r="29" spans="1:11" ht="21.75" customHeight="1" thickBot="1">
      <c r="A29" s="19" t="s">
        <v>19</v>
      </c>
      <c r="B29" s="20">
        <f>B9+B12+B25</f>
        <v>2855713</v>
      </c>
      <c r="C29" s="21">
        <f>C9+C12+C25</f>
        <v>3081527</v>
      </c>
      <c r="D29" s="21">
        <f t="shared" ref="D29:J29" si="5">D9+D12+D25+D24</f>
        <v>2975179</v>
      </c>
      <c r="E29" s="21">
        <f t="shared" si="5"/>
        <v>3418370.1</v>
      </c>
      <c r="F29" s="21">
        <f t="shared" si="5"/>
        <v>3209466</v>
      </c>
      <c r="G29" s="21">
        <f t="shared" si="5"/>
        <v>3318187.6</v>
      </c>
      <c r="H29" s="21">
        <f t="shared" si="5"/>
        <v>3295000.7</v>
      </c>
      <c r="I29" s="21">
        <f t="shared" si="5"/>
        <v>3334808.2</v>
      </c>
      <c r="J29" s="21">
        <f t="shared" si="5"/>
        <v>3334394.5</v>
      </c>
    </row>
    <row r="30" spans="1:11" ht="21.95" customHeight="1" thickTop="1">
      <c r="A30" s="22" t="s">
        <v>20</v>
      </c>
      <c r="B30" s="16"/>
      <c r="C30" s="27"/>
      <c r="D30" s="28"/>
      <c r="E30" s="28"/>
      <c r="F30" s="28"/>
      <c r="G30" s="28"/>
      <c r="H30" s="27"/>
      <c r="I30" s="23"/>
      <c r="J30" s="23"/>
    </row>
    <row r="31" spans="1:11" ht="20.100000000000001" customHeight="1">
      <c r="A31" s="7" t="s">
        <v>21</v>
      </c>
      <c r="B31" s="8">
        <f>B32</f>
        <v>39100</v>
      </c>
      <c r="C31" s="9">
        <f t="shared" ref="C31:J31" si="6">C32+C40</f>
        <v>45200</v>
      </c>
      <c r="D31" s="9">
        <f t="shared" si="6"/>
        <v>41579</v>
      </c>
      <c r="E31" s="9">
        <f t="shared" si="6"/>
        <v>50260.7</v>
      </c>
      <c r="F31" s="9">
        <f t="shared" si="6"/>
        <v>43400</v>
      </c>
      <c r="G31" s="9">
        <f t="shared" si="6"/>
        <v>37467.599999999999</v>
      </c>
      <c r="H31" s="9">
        <f t="shared" si="6"/>
        <v>44635</v>
      </c>
      <c r="I31" s="9">
        <f t="shared" si="6"/>
        <v>38874</v>
      </c>
      <c r="J31" s="9">
        <f t="shared" si="6"/>
        <v>38874</v>
      </c>
    </row>
    <row r="32" spans="1:11" ht="15" customHeight="1">
      <c r="A32" s="24" t="s">
        <v>22</v>
      </c>
      <c r="B32" s="25">
        <f t="shared" ref="B32:J32" si="7">SUM(B34:B39)</f>
        <v>39100</v>
      </c>
      <c r="C32" s="26">
        <f t="shared" si="7"/>
        <v>45200</v>
      </c>
      <c r="D32" s="26">
        <f t="shared" si="7"/>
        <v>41579</v>
      </c>
      <c r="E32" s="26">
        <f t="shared" si="7"/>
        <v>50105.7</v>
      </c>
      <c r="F32" s="26">
        <f t="shared" si="7"/>
        <v>40400</v>
      </c>
      <c r="G32" s="26">
        <f t="shared" si="7"/>
        <v>36673.599999999999</v>
      </c>
      <c r="H32" s="26">
        <f t="shared" si="7"/>
        <v>44635</v>
      </c>
      <c r="I32" s="26">
        <f t="shared" si="7"/>
        <v>38874</v>
      </c>
      <c r="J32" s="26">
        <f t="shared" si="7"/>
        <v>38874</v>
      </c>
    </row>
    <row r="33" spans="1:10" ht="11.1" customHeight="1">
      <c r="A33" s="11" t="s">
        <v>16</v>
      </c>
      <c r="B33" s="16"/>
      <c r="C33" s="27"/>
      <c r="D33" s="28"/>
      <c r="E33" s="28"/>
      <c r="F33" s="28"/>
      <c r="G33" s="28"/>
      <c r="H33" s="27"/>
      <c r="I33" s="27"/>
      <c r="J33" s="27"/>
    </row>
    <row r="34" spans="1:10" ht="12.75" customHeight="1">
      <c r="A34" s="15" t="s">
        <v>23</v>
      </c>
      <c r="B34" s="16">
        <v>15889</v>
      </c>
      <c r="C34" s="17">
        <v>20247</v>
      </c>
      <c r="D34" s="18">
        <v>18746.2</v>
      </c>
      <c r="E34" s="18">
        <v>16736.2</v>
      </c>
      <c r="F34" s="18">
        <v>18747</v>
      </c>
      <c r="G34" s="18">
        <v>14101</v>
      </c>
      <c r="H34" s="17">
        <v>19432</v>
      </c>
      <c r="I34" s="17">
        <v>17328</v>
      </c>
      <c r="J34" s="17">
        <v>17328</v>
      </c>
    </row>
    <row r="35" spans="1:10" ht="12.75" customHeight="1">
      <c r="A35" s="15" t="s">
        <v>139</v>
      </c>
      <c r="B35" s="16">
        <v>3761</v>
      </c>
      <c r="C35" s="17">
        <v>5039</v>
      </c>
      <c r="D35" s="18">
        <v>4767</v>
      </c>
      <c r="E35" s="18">
        <v>4561.3999999999996</v>
      </c>
      <c r="F35" s="18">
        <v>4767</v>
      </c>
      <c r="G35" s="18">
        <v>3633.1</v>
      </c>
      <c r="H35" s="17">
        <v>4442</v>
      </c>
      <c r="I35" s="17">
        <v>4446</v>
      </c>
      <c r="J35" s="17">
        <v>4446</v>
      </c>
    </row>
    <row r="36" spans="1:10" ht="12.75" customHeight="1">
      <c r="A36" s="15" t="s">
        <v>24</v>
      </c>
      <c r="B36" s="16">
        <v>1500</v>
      </c>
      <c r="C36" s="17">
        <v>1800</v>
      </c>
      <c r="D36" s="18">
        <v>1206</v>
      </c>
      <c r="E36" s="18">
        <v>1024.3</v>
      </c>
      <c r="F36" s="18">
        <v>1150</v>
      </c>
      <c r="G36" s="18">
        <v>992.8</v>
      </c>
      <c r="H36" s="17">
        <v>1350</v>
      </c>
      <c r="I36" s="17">
        <v>1300</v>
      </c>
      <c r="J36" s="17">
        <v>1300</v>
      </c>
    </row>
    <row r="37" spans="1:10" ht="12.75" customHeight="1">
      <c r="A37" s="15" t="s">
        <v>25</v>
      </c>
      <c r="B37" s="16">
        <v>7950</v>
      </c>
      <c r="C37" s="17">
        <v>7464</v>
      </c>
      <c r="D37" s="18">
        <v>8104.8</v>
      </c>
      <c r="E37" s="18">
        <v>10360.5</v>
      </c>
      <c r="F37" s="18">
        <v>7581</v>
      </c>
      <c r="G37" s="18">
        <v>7715.7</v>
      </c>
      <c r="H37" s="17">
        <f>8456+1600+200</f>
        <v>10256</v>
      </c>
      <c r="I37" s="17">
        <v>7700</v>
      </c>
      <c r="J37" s="17">
        <v>7700</v>
      </c>
    </row>
    <row r="38" spans="1:10" ht="12.75" customHeight="1">
      <c r="A38" s="15" t="s">
        <v>119</v>
      </c>
      <c r="B38" s="16">
        <v>2000</v>
      </c>
      <c r="C38" s="17">
        <v>2000</v>
      </c>
      <c r="D38" s="18">
        <v>2000</v>
      </c>
      <c r="E38" s="18">
        <v>1599.5</v>
      </c>
      <c r="F38" s="18">
        <v>500</v>
      </c>
      <c r="G38" s="18">
        <v>0</v>
      </c>
      <c r="H38" s="17">
        <v>500</v>
      </c>
      <c r="I38" s="17">
        <v>500</v>
      </c>
      <c r="J38" s="17">
        <v>500</v>
      </c>
    </row>
    <row r="39" spans="1:10" ht="12.75" customHeight="1">
      <c r="A39" s="29" t="s">
        <v>26</v>
      </c>
      <c r="B39" s="30">
        <v>8000</v>
      </c>
      <c r="C39" s="31">
        <v>8650</v>
      </c>
      <c r="D39" s="32">
        <v>6755</v>
      </c>
      <c r="E39" s="32">
        <v>15823.8</v>
      </c>
      <c r="F39" s="32">
        <v>7655</v>
      </c>
      <c r="G39" s="32">
        <v>10231</v>
      </c>
      <c r="H39" s="31">
        <f>7655+1000</f>
        <v>8655</v>
      </c>
      <c r="I39" s="31">
        <v>7600</v>
      </c>
      <c r="J39" s="31">
        <v>7600</v>
      </c>
    </row>
    <row r="40" spans="1:10" ht="12.75" hidden="1" customHeight="1">
      <c r="A40" s="24" t="s">
        <v>27</v>
      </c>
      <c r="B40" s="25">
        <f>B43</f>
        <v>40000</v>
      </c>
      <c r="C40" s="26">
        <f>C43</f>
        <v>0</v>
      </c>
      <c r="D40" s="26">
        <f t="shared" ref="D40:I40" si="8">D43+D42</f>
        <v>0</v>
      </c>
      <c r="E40" s="26">
        <f t="shared" si="8"/>
        <v>155</v>
      </c>
      <c r="F40" s="26">
        <f t="shared" si="8"/>
        <v>3000</v>
      </c>
      <c r="G40" s="26">
        <f t="shared" si="8"/>
        <v>794</v>
      </c>
      <c r="H40" s="26">
        <f t="shared" si="8"/>
        <v>0</v>
      </c>
      <c r="I40" s="26">
        <f t="shared" si="8"/>
        <v>0</v>
      </c>
      <c r="J40" s="26">
        <f t="shared" ref="J40" si="9">J43+J42</f>
        <v>0</v>
      </c>
    </row>
    <row r="41" spans="1:10" ht="9" hidden="1" customHeight="1">
      <c r="A41" s="11" t="s">
        <v>16</v>
      </c>
      <c r="B41" s="12"/>
      <c r="C41" s="27"/>
      <c r="D41" s="28"/>
      <c r="E41" s="28"/>
      <c r="F41" s="28"/>
      <c r="G41" s="28"/>
      <c r="H41" s="27"/>
      <c r="I41" s="27"/>
      <c r="J41" s="27"/>
    </row>
    <row r="42" spans="1:10" ht="12.75" hidden="1" customHeight="1">
      <c r="A42" s="15"/>
      <c r="B42" s="12"/>
      <c r="C42" s="27"/>
      <c r="D42" s="28"/>
      <c r="E42" s="28">
        <v>155</v>
      </c>
      <c r="F42" s="28"/>
      <c r="G42" s="28">
        <v>794</v>
      </c>
      <c r="H42" s="27"/>
      <c r="I42" s="27"/>
      <c r="J42" s="27"/>
    </row>
    <row r="43" spans="1:10" ht="12.75" hidden="1" customHeight="1">
      <c r="A43" s="29"/>
      <c r="B43" s="30">
        <v>40000</v>
      </c>
      <c r="C43" s="31"/>
      <c r="D43" s="32"/>
      <c r="E43" s="32"/>
      <c r="F43" s="32">
        <v>3000</v>
      </c>
      <c r="G43" s="32"/>
      <c r="H43" s="31"/>
      <c r="I43" s="31"/>
      <c r="J43" s="31"/>
    </row>
    <row r="44" spans="1:10" ht="20.100000000000001" customHeight="1">
      <c r="A44" s="7" t="s">
        <v>28</v>
      </c>
      <c r="B44" s="8">
        <f t="shared" ref="B44:C44" si="10">B45</f>
        <v>193212</v>
      </c>
      <c r="C44" s="9">
        <f t="shared" si="10"/>
        <v>243657</v>
      </c>
      <c r="D44" s="9">
        <f t="shared" ref="D44:J44" si="11">D45+D53</f>
        <v>289053</v>
      </c>
      <c r="E44" s="9">
        <f t="shared" si="11"/>
        <v>283886.59999999998</v>
      </c>
      <c r="F44" s="9">
        <f t="shared" si="11"/>
        <v>290586</v>
      </c>
      <c r="G44" s="9">
        <f t="shared" si="11"/>
        <v>265799.69999999995</v>
      </c>
      <c r="H44" s="9">
        <f t="shared" si="11"/>
        <v>290074.80000000005</v>
      </c>
      <c r="I44" s="9">
        <f t="shared" si="11"/>
        <v>287851.2</v>
      </c>
      <c r="J44" s="9">
        <f t="shared" si="11"/>
        <v>287851.2</v>
      </c>
    </row>
    <row r="45" spans="1:10" ht="15" customHeight="1">
      <c r="A45" s="24" t="s">
        <v>101</v>
      </c>
      <c r="B45" s="25">
        <f t="shared" ref="B45:J45" si="12">SUM(B47:B52)</f>
        <v>193212</v>
      </c>
      <c r="C45" s="26">
        <f t="shared" si="12"/>
        <v>243657</v>
      </c>
      <c r="D45" s="26">
        <f t="shared" si="12"/>
        <v>289053</v>
      </c>
      <c r="E45" s="26">
        <f t="shared" si="12"/>
        <v>283539.8</v>
      </c>
      <c r="F45" s="26">
        <f t="shared" si="12"/>
        <v>290586</v>
      </c>
      <c r="G45" s="26">
        <f t="shared" si="12"/>
        <v>265489.59999999998</v>
      </c>
      <c r="H45" s="26">
        <f t="shared" si="12"/>
        <v>290074.80000000005</v>
      </c>
      <c r="I45" s="26">
        <f t="shared" si="12"/>
        <v>287851.2</v>
      </c>
      <c r="J45" s="26">
        <f t="shared" si="12"/>
        <v>287851.2</v>
      </c>
    </row>
    <row r="46" spans="1:10" ht="11.1" customHeight="1">
      <c r="A46" s="11" t="s">
        <v>16</v>
      </c>
      <c r="B46" s="16"/>
      <c r="C46" s="27"/>
      <c r="D46" s="28"/>
      <c r="E46" s="28"/>
      <c r="F46" s="28"/>
      <c r="G46" s="28"/>
      <c r="H46" s="27"/>
      <c r="I46" s="27"/>
      <c r="J46" s="27"/>
    </row>
    <row r="47" spans="1:10" ht="12.75" customHeight="1">
      <c r="A47" s="15" t="s">
        <v>140</v>
      </c>
      <c r="B47" s="16">
        <v>112632</v>
      </c>
      <c r="C47" s="17">
        <v>118069</v>
      </c>
      <c r="D47" s="18">
        <v>134207</v>
      </c>
      <c r="E47" s="18">
        <v>133384.1</v>
      </c>
      <c r="F47" s="18">
        <v>134207</v>
      </c>
      <c r="G47" s="18">
        <v>120912.5</v>
      </c>
      <c r="H47" s="17">
        <f>136307.1-2100.1</f>
        <v>134207</v>
      </c>
      <c r="I47" s="17">
        <v>133151.29999999999</v>
      </c>
      <c r="J47" s="17">
        <v>133151.29999999999</v>
      </c>
    </row>
    <row r="48" spans="1:10" ht="12.75" customHeight="1">
      <c r="A48" s="15" t="s">
        <v>139</v>
      </c>
      <c r="B48" s="16">
        <v>38192</v>
      </c>
      <c r="C48" s="17">
        <v>41383</v>
      </c>
      <c r="D48" s="18">
        <v>45436</v>
      </c>
      <c r="E48" s="18">
        <v>45136.4</v>
      </c>
      <c r="F48" s="18">
        <v>45321</v>
      </c>
      <c r="G48" s="18">
        <v>41423.800000000003</v>
      </c>
      <c r="H48" s="17">
        <v>45355.199999999997</v>
      </c>
      <c r="I48" s="17">
        <v>44406.7</v>
      </c>
      <c r="J48" s="17">
        <v>44406.7</v>
      </c>
    </row>
    <row r="49" spans="1:10" ht="12.75" customHeight="1">
      <c r="A49" s="15" t="s">
        <v>29</v>
      </c>
      <c r="B49" s="16">
        <v>280</v>
      </c>
      <c r="C49" s="17">
        <v>280</v>
      </c>
      <c r="D49" s="18">
        <v>200</v>
      </c>
      <c r="E49" s="18">
        <v>154.69999999999999</v>
      </c>
      <c r="F49" s="18">
        <v>200</v>
      </c>
      <c r="G49" s="18">
        <v>168.1</v>
      </c>
      <c r="H49" s="17">
        <v>200</v>
      </c>
      <c r="I49" s="17">
        <v>200</v>
      </c>
      <c r="J49" s="17">
        <v>200</v>
      </c>
    </row>
    <row r="50" spans="1:10" ht="12.75" customHeight="1">
      <c r="A50" s="15" t="s">
        <v>25</v>
      </c>
      <c r="B50" s="16">
        <v>41956</v>
      </c>
      <c r="C50" s="17">
        <v>43290</v>
      </c>
      <c r="D50" s="18">
        <v>35808</v>
      </c>
      <c r="E50" s="18">
        <v>32012.799999999999</v>
      </c>
      <c r="F50" s="18">
        <v>35864</v>
      </c>
      <c r="G50" s="18">
        <v>31288.3</v>
      </c>
      <c r="H50" s="17">
        <f>4580.6+30738</f>
        <v>35318.6</v>
      </c>
      <c r="I50" s="17">
        <v>39437.5</v>
      </c>
      <c r="J50" s="17">
        <v>39437.5</v>
      </c>
    </row>
    <row r="51" spans="1:10" ht="12.75" customHeight="1">
      <c r="A51" s="15" t="s">
        <v>30</v>
      </c>
      <c r="B51" s="16">
        <v>0</v>
      </c>
      <c r="C51" s="17">
        <v>40483</v>
      </c>
      <c r="D51" s="18">
        <v>73250</v>
      </c>
      <c r="E51" s="18">
        <v>72737.3</v>
      </c>
      <c r="F51" s="18">
        <v>74842</v>
      </c>
      <c r="G51" s="18">
        <v>71583.8</v>
      </c>
      <c r="H51" s="17">
        <v>74842</v>
      </c>
      <c r="I51" s="17">
        <v>70503.7</v>
      </c>
      <c r="J51" s="17">
        <v>70503.7</v>
      </c>
    </row>
    <row r="52" spans="1:10" ht="12.75" customHeight="1">
      <c r="A52" s="29" t="s">
        <v>31</v>
      </c>
      <c r="B52" s="30">
        <v>152</v>
      </c>
      <c r="C52" s="31">
        <v>152</v>
      </c>
      <c r="D52" s="32">
        <v>152</v>
      </c>
      <c r="E52" s="32">
        <v>114.5</v>
      </c>
      <c r="F52" s="32">
        <v>152</v>
      </c>
      <c r="G52" s="32">
        <v>113.1</v>
      </c>
      <c r="H52" s="31">
        <v>152</v>
      </c>
      <c r="I52" s="31">
        <v>152</v>
      </c>
      <c r="J52" s="31">
        <v>152</v>
      </c>
    </row>
    <row r="53" spans="1:10" ht="12.75" hidden="1" customHeight="1">
      <c r="A53" s="24" t="s">
        <v>27</v>
      </c>
      <c r="B53" s="16"/>
      <c r="C53" s="17"/>
      <c r="D53" s="80">
        <f t="shared" ref="D53:I53" si="13">D55</f>
        <v>0</v>
      </c>
      <c r="E53" s="80">
        <f t="shared" si="13"/>
        <v>346.8</v>
      </c>
      <c r="F53" s="80">
        <f t="shared" si="13"/>
        <v>0</v>
      </c>
      <c r="G53" s="80">
        <f t="shared" si="13"/>
        <v>310.10000000000002</v>
      </c>
      <c r="H53" s="80">
        <f t="shared" si="13"/>
        <v>0</v>
      </c>
      <c r="I53" s="80">
        <f t="shared" si="13"/>
        <v>0</v>
      </c>
      <c r="J53" s="80">
        <f t="shared" ref="J53" si="14">J55</f>
        <v>0</v>
      </c>
    </row>
    <row r="54" spans="1:10" ht="9" hidden="1" customHeight="1">
      <c r="A54" s="11" t="s">
        <v>16</v>
      </c>
      <c r="B54" s="16"/>
      <c r="C54" s="17"/>
      <c r="D54" s="18"/>
      <c r="E54" s="18"/>
      <c r="F54" s="18"/>
      <c r="G54" s="18"/>
      <c r="H54" s="17"/>
      <c r="I54" s="17"/>
      <c r="J54" s="17"/>
    </row>
    <row r="55" spans="1:10" ht="12.75" hidden="1" customHeight="1">
      <c r="A55" s="29" t="s">
        <v>34</v>
      </c>
      <c r="B55" s="30"/>
      <c r="C55" s="31"/>
      <c r="D55" s="32"/>
      <c r="E55" s="32">
        <v>346.8</v>
      </c>
      <c r="F55" s="32"/>
      <c r="G55" s="32">
        <v>310.10000000000002</v>
      </c>
      <c r="H55" s="31"/>
      <c r="I55" s="31"/>
      <c r="J55" s="31"/>
    </row>
    <row r="56" spans="1:10" ht="18.95" customHeight="1">
      <c r="A56" s="7" t="s">
        <v>32</v>
      </c>
      <c r="B56" s="8">
        <f t="shared" ref="B56:J56" si="15">B57+B61</f>
        <v>128214</v>
      </c>
      <c r="C56" s="9">
        <f t="shared" si="15"/>
        <v>133200</v>
      </c>
      <c r="D56" s="9">
        <f t="shared" si="15"/>
        <v>130113</v>
      </c>
      <c r="E56" s="9">
        <f t="shared" si="15"/>
        <v>102578.90000000001</v>
      </c>
      <c r="F56" s="9">
        <f t="shared" si="15"/>
        <v>117857.4</v>
      </c>
      <c r="G56" s="9">
        <f t="shared" si="15"/>
        <v>103322.5</v>
      </c>
      <c r="H56" s="9">
        <f t="shared" si="15"/>
        <v>119705</v>
      </c>
      <c r="I56" s="9">
        <f t="shared" si="15"/>
        <v>108810</v>
      </c>
      <c r="J56" s="9">
        <f t="shared" si="15"/>
        <v>108810</v>
      </c>
    </row>
    <row r="57" spans="1:10" ht="15" customHeight="1">
      <c r="A57" s="24" t="s">
        <v>22</v>
      </c>
      <c r="B57" s="25">
        <f t="shared" ref="B57:J57" si="16">SUM(B59:B60)</f>
        <v>88214</v>
      </c>
      <c r="C57" s="26">
        <f t="shared" si="16"/>
        <v>88200</v>
      </c>
      <c r="D57" s="26">
        <f t="shared" si="16"/>
        <v>85113</v>
      </c>
      <c r="E57" s="26">
        <f t="shared" si="16"/>
        <v>71402.100000000006</v>
      </c>
      <c r="F57" s="26">
        <f t="shared" si="16"/>
        <v>72857.399999999994</v>
      </c>
      <c r="G57" s="26">
        <f t="shared" si="16"/>
        <v>69028.5</v>
      </c>
      <c r="H57" s="26">
        <f t="shared" si="16"/>
        <v>74705</v>
      </c>
      <c r="I57" s="26">
        <f t="shared" si="16"/>
        <v>63810</v>
      </c>
      <c r="J57" s="26">
        <f t="shared" si="16"/>
        <v>63810</v>
      </c>
    </row>
    <row r="58" spans="1:10" ht="11.1" customHeight="1">
      <c r="A58" s="11" t="s">
        <v>16</v>
      </c>
      <c r="B58" s="16"/>
      <c r="C58" s="27"/>
      <c r="D58" s="28"/>
      <c r="E58" s="28"/>
      <c r="F58" s="28"/>
      <c r="G58" s="28"/>
      <c r="H58" s="88"/>
      <c r="I58" s="27"/>
      <c r="J58" s="27"/>
    </row>
    <row r="59" spans="1:10" ht="12.75" customHeight="1">
      <c r="A59" s="15" t="s">
        <v>123</v>
      </c>
      <c r="B59" s="16">
        <v>42319</v>
      </c>
      <c r="C59" s="17">
        <v>45000</v>
      </c>
      <c r="D59" s="18">
        <v>43213</v>
      </c>
      <c r="E59" s="18">
        <v>43213</v>
      </c>
      <c r="F59" s="18">
        <v>43152.4</v>
      </c>
      <c r="G59" s="18">
        <v>44752.4</v>
      </c>
      <c r="H59" s="17">
        <v>45000</v>
      </c>
      <c r="I59" s="17">
        <v>45000</v>
      </c>
      <c r="J59" s="17">
        <v>45000</v>
      </c>
    </row>
    <row r="60" spans="1:10" ht="12.75" customHeight="1">
      <c r="A60" s="15" t="s">
        <v>25</v>
      </c>
      <c r="B60" s="16">
        <v>45895</v>
      </c>
      <c r="C60" s="17">
        <v>43200</v>
      </c>
      <c r="D60" s="18">
        <v>41900</v>
      </c>
      <c r="E60" s="18">
        <v>28189.1</v>
      </c>
      <c r="F60" s="18">
        <v>29705</v>
      </c>
      <c r="G60" s="18">
        <v>24276.1</v>
      </c>
      <c r="H60" s="17">
        <v>29705</v>
      </c>
      <c r="I60" s="17">
        <v>18810</v>
      </c>
      <c r="J60" s="17">
        <v>18810</v>
      </c>
    </row>
    <row r="61" spans="1:10" ht="15" customHeight="1">
      <c r="A61" s="24" t="s">
        <v>27</v>
      </c>
      <c r="B61" s="25">
        <f>B63</f>
        <v>40000</v>
      </c>
      <c r="C61" s="26">
        <f t="shared" ref="C61:J61" si="17">SUM(C63:C63)</f>
        <v>45000</v>
      </c>
      <c r="D61" s="26">
        <f t="shared" si="17"/>
        <v>45000</v>
      </c>
      <c r="E61" s="26">
        <f t="shared" si="17"/>
        <v>31176.799999999999</v>
      </c>
      <c r="F61" s="26">
        <f t="shared" si="17"/>
        <v>45000</v>
      </c>
      <c r="G61" s="26">
        <f t="shared" si="17"/>
        <v>34294</v>
      </c>
      <c r="H61" s="26">
        <f t="shared" si="17"/>
        <v>45000</v>
      </c>
      <c r="I61" s="26">
        <f t="shared" si="17"/>
        <v>45000</v>
      </c>
      <c r="J61" s="26">
        <f t="shared" si="17"/>
        <v>45000</v>
      </c>
    </row>
    <row r="62" spans="1:10" ht="11.1" customHeight="1">
      <c r="A62" s="11" t="s">
        <v>16</v>
      </c>
      <c r="B62" s="12"/>
      <c r="C62" s="27"/>
      <c r="D62" s="28"/>
      <c r="E62" s="28"/>
      <c r="F62" s="28"/>
      <c r="G62" s="28"/>
      <c r="H62" s="88"/>
      <c r="I62" s="27"/>
      <c r="J62" s="27"/>
    </row>
    <row r="63" spans="1:10" ht="12.75" customHeight="1">
      <c r="A63" s="29" t="s">
        <v>33</v>
      </c>
      <c r="B63" s="30">
        <v>40000</v>
      </c>
      <c r="C63" s="31">
        <v>45000</v>
      </c>
      <c r="D63" s="32">
        <v>45000</v>
      </c>
      <c r="E63" s="32">
        <v>31176.799999999999</v>
      </c>
      <c r="F63" s="32">
        <v>45000</v>
      </c>
      <c r="G63" s="32">
        <v>34294</v>
      </c>
      <c r="H63" s="31">
        <v>45000</v>
      </c>
      <c r="I63" s="31">
        <v>45000</v>
      </c>
      <c r="J63" s="31">
        <v>45000</v>
      </c>
    </row>
    <row r="64" spans="1:10" ht="18.95" customHeight="1">
      <c r="A64" s="7" t="s">
        <v>35</v>
      </c>
      <c r="B64" s="8">
        <f t="shared" ref="B64:J64" si="18">B65</f>
        <v>3670</v>
      </c>
      <c r="C64" s="9">
        <f t="shared" si="18"/>
        <v>3670</v>
      </c>
      <c r="D64" s="9" t="e">
        <f t="shared" si="18"/>
        <v>#REF!</v>
      </c>
      <c r="E64" s="9" t="e">
        <f t="shared" si="18"/>
        <v>#REF!</v>
      </c>
      <c r="F64" s="9" t="e">
        <f t="shared" si="18"/>
        <v>#REF!</v>
      </c>
      <c r="G64" s="9" t="e">
        <f>G65+G68</f>
        <v>#REF!</v>
      </c>
      <c r="H64" s="9">
        <f t="shared" si="18"/>
        <v>9350</v>
      </c>
      <c r="I64" s="9" t="e">
        <f t="shared" si="18"/>
        <v>#REF!</v>
      </c>
      <c r="J64" s="9">
        <f t="shared" si="18"/>
        <v>10174</v>
      </c>
    </row>
    <row r="65" spans="1:10" ht="12.75" customHeight="1">
      <c r="A65" s="24" t="s">
        <v>22</v>
      </c>
      <c r="B65" s="25">
        <f>SUM(B67:B67)</f>
        <v>3670</v>
      </c>
      <c r="C65" s="26">
        <f>C67</f>
        <v>3670</v>
      </c>
      <c r="D65" s="26" t="e">
        <f>D67+#REF!</f>
        <v>#REF!</v>
      </c>
      <c r="E65" s="26" t="e">
        <f>E67+#REF!</f>
        <v>#REF!</v>
      </c>
      <c r="F65" s="26" t="e">
        <f>F67+#REF!</f>
        <v>#REF!</v>
      </c>
      <c r="G65" s="26" t="e">
        <f>G67+#REF!</f>
        <v>#REF!</v>
      </c>
      <c r="H65" s="26">
        <f>H67</f>
        <v>9350</v>
      </c>
      <c r="I65" s="26" t="e">
        <f>I67+#REF!</f>
        <v>#REF!</v>
      </c>
      <c r="J65" s="26">
        <f>J67</f>
        <v>10174</v>
      </c>
    </row>
    <row r="66" spans="1:10" ht="10.5" customHeight="1">
      <c r="A66" s="11" t="s">
        <v>16</v>
      </c>
      <c r="B66" s="16"/>
      <c r="C66" s="27"/>
      <c r="D66" s="28"/>
      <c r="E66" s="28"/>
      <c r="F66" s="28"/>
      <c r="G66" s="28"/>
      <c r="H66" s="88"/>
      <c r="I66" s="27"/>
      <c r="J66" s="27"/>
    </row>
    <row r="67" spans="1:10" ht="12.75" customHeight="1">
      <c r="A67" s="29" t="s">
        <v>25</v>
      </c>
      <c r="B67" s="30">
        <v>3670</v>
      </c>
      <c r="C67" s="96">
        <v>3670</v>
      </c>
      <c r="D67" s="97">
        <v>3670</v>
      </c>
      <c r="E67" s="97">
        <v>1751.2</v>
      </c>
      <c r="F67" s="97">
        <v>4589</v>
      </c>
      <c r="G67" s="97">
        <v>6675</v>
      </c>
      <c r="H67" s="98">
        <f>4100+4650+600</f>
        <v>9350</v>
      </c>
      <c r="I67" s="96">
        <v>10174</v>
      </c>
      <c r="J67" s="96">
        <v>10174</v>
      </c>
    </row>
    <row r="68" spans="1:10" ht="12.75" hidden="1" customHeight="1">
      <c r="A68" s="24" t="s">
        <v>27</v>
      </c>
      <c r="B68" s="16"/>
      <c r="C68" s="17"/>
      <c r="D68" s="18"/>
      <c r="E68" s="18"/>
      <c r="F68" s="18"/>
      <c r="G68" s="26">
        <f>G70</f>
        <v>2000</v>
      </c>
      <c r="H68" s="17"/>
      <c r="I68" s="17"/>
      <c r="J68" s="17"/>
    </row>
    <row r="69" spans="1:10" ht="12.75" hidden="1" customHeight="1">
      <c r="A69" s="11" t="s">
        <v>16</v>
      </c>
      <c r="B69" s="16"/>
      <c r="C69" s="17"/>
      <c r="D69" s="18"/>
      <c r="E69" s="18"/>
      <c r="F69" s="18"/>
      <c r="G69" s="18"/>
      <c r="H69" s="17"/>
      <c r="I69" s="17"/>
      <c r="J69" s="17"/>
    </row>
    <row r="70" spans="1:10" ht="12.75" hidden="1" customHeight="1">
      <c r="A70" s="29"/>
      <c r="B70" s="30"/>
      <c r="C70" s="31"/>
      <c r="D70" s="32"/>
      <c r="E70" s="32"/>
      <c r="F70" s="32"/>
      <c r="G70" s="32">
        <v>2000</v>
      </c>
      <c r="H70" s="31"/>
      <c r="I70" s="31"/>
      <c r="J70" s="31"/>
    </row>
    <row r="71" spans="1:10" ht="18.95" customHeight="1">
      <c r="A71" s="7" t="s">
        <v>36</v>
      </c>
      <c r="B71" s="8">
        <f>B72</f>
        <v>874621</v>
      </c>
      <c r="C71" s="9" t="e">
        <f t="shared" ref="C71:J71" si="19">C72+C80</f>
        <v>#REF!</v>
      </c>
      <c r="D71" s="9" t="e">
        <f t="shared" si="19"/>
        <v>#REF!</v>
      </c>
      <c r="E71" s="9" t="e">
        <f t="shared" si="19"/>
        <v>#REF!</v>
      </c>
      <c r="F71" s="9" t="e">
        <f t="shared" si="19"/>
        <v>#REF!</v>
      </c>
      <c r="G71" s="9" t="e">
        <f t="shared" si="19"/>
        <v>#REF!</v>
      </c>
      <c r="H71" s="9">
        <f t="shared" si="19"/>
        <v>1122174.1000000001</v>
      </c>
      <c r="I71" s="9" t="e">
        <f t="shared" si="19"/>
        <v>#REF!</v>
      </c>
      <c r="J71" s="9">
        <f t="shared" si="19"/>
        <v>1108760</v>
      </c>
    </row>
    <row r="72" spans="1:10" ht="15" customHeight="1">
      <c r="A72" s="24" t="s">
        <v>102</v>
      </c>
      <c r="B72" s="25">
        <f>SUM(B75:B79)</f>
        <v>874621</v>
      </c>
      <c r="C72" s="26">
        <f t="shared" ref="C72:J72" si="20">SUM(C74:C79)</f>
        <v>871621</v>
      </c>
      <c r="D72" s="26">
        <f t="shared" si="20"/>
        <v>960245.6</v>
      </c>
      <c r="E72" s="26">
        <f t="shared" si="20"/>
        <v>1087407.2999999998</v>
      </c>
      <c r="F72" s="26">
        <f t="shared" si="20"/>
        <v>976250</v>
      </c>
      <c r="G72" s="26">
        <f t="shared" si="20"/>
        <v>1085096.8999999999</v>
      </c>
      <c r="H72" s="26">
        <f t="shared" si="20"/>
        <v>1091000</v>
      </c>
      <c r="I72" s="26">
        <f t="shared" si="20"/>
        <v>1090760</v>
      </c>
      <c r="J72" s="26">
        <f t="shared" si="20"/>
        <v>1094760</v>
      </c>
    </row>
    <row r="73" spans="1:10" ht="8.25" customHeight="1">
      <c r="A73" s="11" t="s">
        <v>16</v>
      </c>
      <c r="B73" s="16"/>
      <c r="C73" s="27"/>
      <c r="D73" s="28"/>
      <c r="E73" s="28"/>
      <c r="F73" s="28"/>
      <c r="G73" s="28"/>
      <c r="H73" s="27"/>
      <c r="I73" s="27"/>
      <c r="J73" s="27"/>
    </row>
    <row r="74" spans="1:10" ht="12.75" customHeight="1">
      <c r="A74" s="15" t="s">
        <v>37</v>
      </c>
      <c r="B74" s="16"/>
      <c r="C74" s="27"/>
      <c r="D74" s="28"/>
      <c r="E74" s="28"/>
      <c r="F74" s="28"/>
      <c r="G74" s="28"/>
      <c r="H74" s="27"/>
      <c r="I74" s="27"/>
      <c r="J74" s="27"/>
    </row>
    <row r="75" spans="1:10" ht="12.75" customHeight="1">
      <c r="A75" s="15" t="s">
        <v>38</v>
      </c>
      <c r="B75" s="16">
        <v>202696</v>
      </c>
      <c r="C75" s="17">
        <v>202696</v>
      </c>
      <c r="D75" s="18">
        <v>243300</v>
      </c>
      <c r="E75" s="18">
        <v>268667.59999999998</v>
      </c>
      <c r="F75" s="18">
        <v>246074</v>
      </c>
      <c r="G75" s="18">
        <v>265874.59999999998</v>
      </c>
      <c r="H75" s="17">
        <v>266800</v>
      </c>
      <c r="I75" s="17">
        <v>266800</v>
      </c>
      <c r="J75" s="17">
        <v>266800</v>
      </c>
    </row>
    <row r="76" spans="1:10" ht="12.75" customHeight="1">
      <c r="A76" s="15" t="s">
        <v>39</v>
      </c>
      <c r="B76" s="16">
        <v>297535</v>
      </c>
      <c r="C76" s="17">
        <v>297535</v>
      </c>
      <c r="D76" s="18">
        <v>352370</v>
      </c>
      <c r="E76" s="18">
        <v>352395.8</v>
      </c>
      <c r="F76" s="18">
        <v>355796</v>
      </c>
      <c r="G76" s="18">
        <v>355376.4</v>
      </c>
      <c r="H76" s="17">
        <v>363000</v>
      </c>
      <c r="I76" s="17">
        <v>363000</v>
      </c>
      <c r="J76" s="17">
        <v>363000</v>
      </c>
    </row>
    <row r="77" spans="1:10" ht="12.75" customHeight="1">
      <c r="A77" s="15" t="s">
        <v>40</v>
      </c>
      <c r="B77" s="33">
        <v>366000</v>
      </c>
      <c r="C77" s="17">
        <v>10000</v>
      </c>
      <c r="D77" s="18">
        <v>8000</v>
      </c>
      <c r="E77" s="18">
        <v>1000</v>
      </c>
      <c r="F77" s="18">
        <v>7600</v>
      </c>
      <c r="G77" s="18">
        <v>1000</v>
      </c>
      <c r="H77" s="17">
        <v>6000</v>
      </c>
      <c r="I77" s="17">
        <v>22000</v>
      </c>
      <c r="J77" s="17">
        <v>22000</v>
      </c>
    </row>
    <row r="78" spans="1:10" ht="12.75" customHeight="1">
      <c r="A78" s="15" t="s">
        <v>124</v>
      </c>
      <c r="B78" s="16">
        <v>3000</v>
      </c>
      <c r="C78" s="17">
        <v>0</v>
      </c>
      <c r="D78" s="18">
        <v>5400</v>
      </c>
      <c r="E78" s="18">
        <v>5500</v>
      </c>
      <c r="F78" s="18">
        <v>5130</v>
      </c>
      <c r="G78" s="18">
        <v>6186</v>
      </c>
      <c r="H78" s="17">
        <v>5400</v>
      </c>
      <c r="I78" s="17">
        <v>5410</v>
      </c>
      <c r="J78" s="17">
        <v>9410</v>
      </c>
    </row>
    <row r="79" spans="1:10" ht="12.75" customHeight="1">
      <c r="A79" s="15" t="s">
        <v>25</v>
      </c>
      <c r="B79" s="16">
        <v>5390</v>
      </c>
      <c r="C79" s="17">
        <v>361390</v>
      </c>
      <c r="D79" s="18">
        <v>351175.6</v>
      </c>
      <c r="E79" s="18">
        <v>459843.9</v>
      </c>
      <c r="F79" s="18">
        <v>361650</v>
      </c>
      <c r="G79" s="18">
        <v>456659.9</v>
      </c>
      <c r="H79" s="17">
        <v>449800</v>
      </c>
      <c r="I79" s="17">
        <v>433550</v>
      </c>
      <c r="J79" s="17">
        <v>433550</v>
      </c>
    </row>
    <row r="80" spans="1:10" ht="12.75" customHeight="1">
      <c r="A80" s="24" t="s">
        <v>27</v>
      </c>
      <c r="B80" s="25" t="e">
        <f>#REF!</f>
        <v>#REF!</v>
      </c>
      <c r="C80" s="26" t="e">
        <f>#REF!</f>
        <v>#REF!</v>
      </c>
      <c r="D80" s="26" t="e">
        <f>#REF!+D82</f>
        <v>#REF!</v>
      </c>
      <c r="E80" s="26" t="e">
        <f>#REF!+E82</f>
        <v>#REF!</v>
      </c>
      <c r="F80" s="26" t="e">
        <f>#REF!+F82</f>
        <v>#REF!</v>
      </c>
      <c r="G80" s="26" t="e">
        <f>#REF!+G82</f>
        <v>#REF!</v>
      </c>
      <c r="H80" s="26">
        <f>H82+H83</f>
        <v>31174.1</v>
      </c>
      <c r="I80" s="26" t="e">
        <f>#REF!+I82</f>
        <v>#REF!</v>
      </c>
      <c r="J80" s="26">
        <f>J82</f>
        <v>14000</v>
      </c>
    </row>
    <row r="81" spans="1:10" ht="9.75" customHeight="1">
      <c r="A81" s="11" t="s">
        <v>16</v>
      </c>
      <c r="B81" s="16"/>
      <c r="C81" s="34"/>
      <c r="D81" s="35"/>
      <c r="E81" s="35"/>
      <c r="F81" s="35"/>
      <c r="G81" s="35"/>
      <c r="H81" s="34"/>
      <c r="I81" s="34"/>
      <c r="J81" s="34"/>
    </row>
    <row r="82" spans="1:10" ht="12.75" customHeight="1">
      <c r="A82" s="15" t="s">
        <v>34</v>
      </c>
      <c r="B82" s="16"/>
      <c r="C82" s="34"/>
      <c r="D82" s="35"/>
      <c r="E82" s="35">
        <v>15467.3</v>
      </c>
      <c r="F82" s="35">
        <v>15000</v>
      </c>
      <c r="G82" s="35">
        <v>13945.1</v>
      </c>
      <c r="H82" s="34">
        <v>15000</v>
      </c>
      <c r="I82" s="34">
        <v>14000</v>
      </c>
      <c r="J82" s="34">
        <v>14000</v>
      </c>
    </row>
    <row r="83" spans="1:10" ht="12.75" customHeight="1">
      <c r="A83" s="29" t="s">
        <v>128</v>
      </c>
      <c r="B83" s="30"/>
      <c r="C83" s="36"/>
      <c r="D83" s="37"/>
      <c r="E83" s="37"/>
      <c r="F83" s="37"/>
      <c r="G83" s="37"/>
      <c r="H83" s="36">
        <v>16174.1</v>
      </c>
      <c r="I83" s="36"/>
      <c r="J83" s="36"/>
    </row>
    <row r="84" spans="1:10" ht="18.95" customHeight="1">
      <c r="A84" s="7" t="s">
        <v>41</v>
      </c>
      <c r="B84" s="8">
        <f t="shared" ref="B84:C84" si="21">B85</f>
        <v>7000</v>
      </c>
      <c r="C84" s="9">
        <f t="shared" si="21"/>
        <v>7000</v>
      </c>
      <c r="D84" s="9">
        <f t="shared" ref="D84:J84" si="22">D85+D88</f>
        <v>6755</v>
      </c>
      <c r="E84" s="9">
        <f t="shared" si="22"/>
        <v>7196.5</v>
      </c>
      <c r="F84" s="9">
        <f t="shared" si="22"/>
        <v>4417.3</v>
      </c>
      <c r="G84" s="9" t="e">
        <f t="shared" si="22"/>
        <v>#REF!</v>
      </c>
      <c r="H84" s="9">
        <f t="shared" si="22"/>
        <v>4417.3</v>
      </c>
      <c r="I84" s="9">
        <f t="shared" si="22"/>
        <v>3280</v>
      </c>
      <c r="J84" s="9">
        <f t="shared" si="22"/>
        <v>4280</v>
      </c>
    </row>
    <row r="85" spans="1:10" ht="12.95" customHeight="1">
      <c r="A85" s="24" t="s">
        <v>22</v>
      </c>
      <c r="B85" s="25">
        <f>SUM(B87:B87)</f>
        <v>7000</v>
      </c>
      <c r="C85" s="26">
        <f t="shared" ref="C85:I85" si="23">C87</f>
        <v>7000</v>
      </c>
      <c r="D85" s="26">
        <f t="shared" si="23"/>
        <v>6755</v>
      </c>
      <c r="E85" s="26">
        <f t="shared" si="23"/>
        <v>6846.5</v>
      </c>
      <c r="F85" s="26">
        <f t="shared" si="23"/>
        <v>4417.3</v>
      </c>
      <c r="G85" s="26" t="e">
        <f>G87+#REF!</f>
        <v>#REF!</v>
      </c>
      <c r="H85" s="26">
        <f t="shared" ref="H85" si="24">H87</f>
        <v>4417.3</v>
      </c>
      <c r="I85" s="26">
        <f t="shared" si="23"/>
        <v>3280</v>
      </c>
      <c r="J85" s="26">
        <f t="shared" ref="J85" si="25">J87</f>
        <v>4280</v>
      </c>
    </row>
    <row r="86" spans="1:10" ht="11.1" customHeight="1">
      <c r="A86" s="11" t="s">
        <v>16</v>
      </c>
      <c r="B86" s="16"/>
      <c r="C86" s="27"/>
      <c r="D86" s="28"/>
      <c r="E86" s="28"/>
      <c r="F86" s="28"/>
      <c r="G86" s="28"/>
      <c r="H86" s="17"/>
      <c r="I86" s="27"/>
      <c r="J86" s="27"/>
    </row>
    <row r="87" spans="1:10" ht="12.75" customHeight="1">
      <c r="A87" s="29" t="s">
        <v>25</v>
      </c>
      <c r="B87" s="30">
        <v>7000</v>
      </c>
      <c r="C87" s="31">
        <v>7000</v>
      </c>
      <c r="D87" s="32">
        <v>6755</v>
      </c>
      <c r="E87" s="32">
        <v>6846.5</v>
      </c>
      <c r="F87" s="32">
        <v>4417.3</v>
      </c>
      <c r="G87" s="32">
        <v>5299.5</v>
      </c>
      <c r="H87" s="31">
        <v>4417.3</v>
      </c>
      <c r="I87" s="31">
        <v>3280</v>
      </c>
      <c r="J87" s="31">
        <v>4280</v>
      </c>
    </row>
    <row r="88" spans="1:10" ht="12.75" hidden="1" customHeight="1">
      <c r="A88" s="24" t="s">
        <v>27</v>
      </c>
      <c r="B88" s="16"/>
      <c r="C88" s="17"/>
      <c r="D88" s="80">
        <f t="shared" ref="D88:I88" si="26">D90</f>
        <v>0</v>
      </c>
      <c r="E88" s="80">
        <f t="shared" si="26"/>
        <v>350</v>
      </c>
      <c r="F88" s="80">
        <f t="shared" si="26"/>
        <v>0</v>
      </c>
      <c r="G88" s="80">
        <f t="shared" si="26"/>
        <v>0</v>
      </c>
      <c r="H88" s="26">
        <f t="shared" si="26"/>
        <v>0</v>
      </c>
      <c r="I88" s="80">
        <f t="shared" si="26"/>
        <v>0</v>
      </c>
      <c r="J88" s="80">
        <f t="shared" ref="J88" si="27">J90</f>
        <v>0</v>
      </c>
    </row>
    <row r="89" spans="1:10" ht="9" hidden="1" customHeight="1">
      <c r="A89" s="11" t="s">
        <v>16</v>
      </c>
      <c r="B89" s="16"/>
      <c r="C89" s="17"/>
      <c r="D89" s="18"/>
      <c r="E89" s="18"/>
      <c r="F89" s="18"/>
      <c r="G89" s="18"/>
      <c r="H89" s="17"/>
      <c r="I89" s="17"/>
      <c r="J89" s="17"/>
    </row>
    <row r="90" spans="1:10" ht="12.75" hidden="1" customHeight="1">
      <c r="A90" s="29" t="s">
        <v>34</v>
      </c>
      <c r="B90" s="30"/>
      <c r="C90" s="31"/>
      <c r="D90" s="32"/>
      <c r="E90" s="32">
        <v>350</v>
      </c>
      <c r="F90" s="32"/>
      <c r="G90" s="32"/>
      <c r="H90" s="31"/>
      <c r="I90" s="31"/>
      <c r="J90" s="31"/>
    </row>
    <row r="91" spans="1:10" ht="18.95" customHeight="1">
      <c r="A91" s="7" t="s">
        <v>42</v>
      </c>
      <c r="B91" s="8" t="e">
        <f t="shared" ref="B91:I91" si="28">B92+B97</f>
        <v>#REF!</v>
      </c>
      <c r="C91" s="9">
        <f t="shared" si="28"/>
        <v>63986</v>
      </c>
      <c r="D91" s="9">
        <f t="shared" si="28"/>
        <v>33000</v>
      </c>
      <c r="E91" s="9">
        <f t="shared" si="28"/>
        <v>35140</v>
      </c>
      <c r="F91" s="9">
        <f t="shared" si="28"/>
        <v>32100</v>
      </c>
      <c r="G91" s="9">
        <f t="shared" si="28"/>
        <v>38785.300000000003</v>
      </c>
      <c r="H91" s="9">
        <f t="shared" si="28"/>
        <v>29670</v>
      </c>
      <c r="I91" s="9">
        <f t="shared" si="28"/>
        <v>26780</v>
      </c>
      <c r="J91" s="9">
        <f t="shared" ref="J91" si="29">J92+J97</f>
        <v>26780</v>
      </c>
    </row>
    <row r="92" spans="1:10" ht="12.75" customHeight="1">
      <c r="A92" s="24" t="s">
        <v>103</v>
      </c>
      <c r="B92" s="25">
        <f t="shared" ref="B92:H92" si="30">SUM(B94:B96)</f>
        <v>28962</v>
      </c>
      <c r="C92" s="26">
        <f t="shared" si="30"/>
        <v>59236</v>
      </c>
      <c r="D92" s="26">
        <f t="shared" si="30"/>
        <v>28000</v>
      </c>
      <c r="E92" s="26">
        <f t="shared" si="30"/>
        <v>22150</v>
      </c>
      <c r="F92" s="26">
        <f t="shared" si="30"/>
        <v>27100</v>
      </c>
      <c r="G92" s="26">
        <f t="shared" si="30"/>
        <v>25773.599999999999</v>
      </c>
      <c r="H92" s="26">
        <f t="shared" si="30"/>
        <v>26670</v>
      </c>
      <c r="I92" s="26">
        <f>SUM(I94:I96)</f>
        <v>24580</v>
      </c>
      <c r="J92" s="26">
        <f>SUM(J94:J96)</f>
        <v>24580</v>
      </c>
    </row>
    <row r="93" spans="1:10" ht="11.1" customHeight="1">
      <c r="A93" s="11" t="s">
        <v>7</v>
      </c>
      <c r="B93" s="16"/>
      <c r="C93" s="27"/>
      <c r="D93" s="28"/>
      <c r="E93" s="28"/>
      <c r="F93" s="28"/>
      <c r="G93" s="28"/>
      <c r="H93" s="88"/>
      <c r="I93" s="27"/>
      <c r="J93" s="27"/>
    </row>
    <row r="94" spans="1:10" ht="12.75" customHeight="1">
      <c r="A94" s="15" t="s">
        <v>43</v>
      </c>
      <c r="B94" s="16">
        <v>0</v>
      </c>
      <c r="C94" s="17">
        <v>25529</v>
      </c>
      <c r="D94" s="18"/>
      <c r="E94" s="18"/>
      <c r="F94" s="18"/>
      <c r="G94" s="18"/>
      <c r="H94" s="17"/>
      <c r="I94" s="17"/>
      <c r="J94" s="17"/>
    </row>
    <row r="95" spans="1:10" ht="12.75" customHeight="1">
      <c r="A95" s="15" t="s">
        <v>25</v>
      </c>
      <c r="B95" s="16">
        <v>8962</v>
      </c>
      <c r="C95" s="17">
        <v>11707</v>
      </c>
      <c r="D95" s="18">
        <v>6000</v>
      </c>
      <c r="E95" s="18">
        <v>4430.8999999999996</v>
      </c>
      <c r="F95" s="18">
        <v>5100</v>
      </c>
      <c r="G95" s="18">
        <v>6951.3</v>
      </c>
      <c r="H95" s="17">
        <f>4670</f>
        <v>4670</v>
      </c>
      <c r="I95" s="17">
        <v>4580</v>
      </c>
      <c r="J95" s="17">
        <v>4580</v>
      </c>
    </row>
    <row r="96" spans="1:10" ht="12.75" customHeight="1">
      <c r="A96" s="15" t="s">
        <v>104</v>
      </c>
      <c r="B96" s="16">
        <v>20000</v>
      </c>
      <c r="C96" s="17">
        <v>22000</v>
      </c>
      <c r="D96" s="18">
        <v>22000</v>
      </c>
      <c r="E96" s="18">
        <v>17719.099999999999</v>
      </c>
      <c r="F96" s="18">
        <v>22000</v>
      </c>
      <c r="G96" s="18">
        <v>18822.3</v>
      </c>
      <c r="H96" s="17">
        <v>22000</v>
      </c>
      <c r="I96" s="17">
        <v>20000</v>
      </c>
      <c r="J96" s="17">
        <v>20000</v>
      </c>
    </row>
    <row r="97" spans="1:10" ht="12.75" customHeight="1">
      <c r="A97" s="24" t="s">
        <v>27</v>
      </c>
      <c r="B97" s="25" t="e">
        <f>#REF!</f>
        <v>#REF!</v>
      </c>
      <c r="C97" s="26">
        <f t="shared" ref="C97:J97" si="31">SUM(C99:C99)</f>
        <v>4750</v>
      </c>
      <c r="D97" s="26">
        <f t="shared" si="31"/>
        <v>5000</v>
      </c>
      <c r="E97" s="26">
        <f t="shared" si="31"/>
        <v>12990</v>
      </c>
      <c r="F97" s="26">
        <f t="shared" si="31"/>
        <v>5000</v>
      </c>
      <c r="G97" s="26">
        <f t="shared" si="31"/>
        <v>13011.7</v>
      </c>
      <c r="H97" s="26">
        <f t="shared" si="31"/>
        <v>3000</v>
      </c>
      <c r="I97" s="26">
        <f t="shared" si="31"/>
        <v>2200</v>
      </c>
      <c r="J97" s="26">
        <f t="shared" si="31"/>
        <v>2200</v>
      </c>
    </row>
    <row r="98" spans="1:10" ht="11.1" customHeight="1">
      <c r="A98" s="11" t="s">
        <v>7</v>
      </c>
      <c r="B98" s="16"/>
      <c r="C98" s="27"/>
      <c r="D98" s="28"/>
      <c r="E98" s="28"/>
      <c r="F98" s="28"/>
      <c r="G98" s="28"/>
      <c r="H98" s="88"/>
      <c r="I98" s="27"/>
      <c r="J98" s="27"/>
    </row>
    <row r="99" spans="1:10" ht="12.75" customHeight="1">
      <c r="A99" s="29" t="s">
        <v>34</v>
      </c>
      <c r="B99" s="30">
        <v>0</v>
      </c>
      <c r="C99" s="31">
        <v>4750</v>
      </c>
      <c r="D99" s="32">
        <v>5000</v>
      </c>
      <c r="E99" s="32">
        <v>12990</v>
      </c>
      <c r="F99" s="32">
        <v>5000</v>
      </c>
      <c r="G99" s="32">
        <v>13011.7</v>
      </c>
      <c r="H99" s="31">
        <v>3000</v>
      </c>
      <c r="I99" s="31">
        <v>2200</v>
      </c>
      <c r="J99" s="31">
        <v>2200</v>
      </c>
    </row>
    <row r="100" spans="1:10" ht="18.95" customHeight="1">
      <c r="A100" s="7" t="s">
        <v>44</v>
      </c>
      <c r="B100" s="8">
        <f>B101</f>
        <v>23700</v>
      </c>
      <c r="C100" s="9">
        <f t="shared" ref="C100:I100" si="32">C101+C106</f>
        <v>9200</v>
      </c>
      <c r="D100" s="9">
        <f t="shared" si="32"/>
        <v>11294</v>
      </c>
      <c r="E100" s="9">
        <f t="shared" si="32"/>
        <v>10057.200000000001</v>
      </c>
      <c r="F100" s="9">
        <f t="shared" si="32"/>
        <v>10723.1</v>
      </c>
      <c r="G100" s="9">
        <f t="shared" si="32"/>
        <v>7828.6</v>
      </c>
      <c r="H100" s="9">
        <f t="shared" si="32"/>
        <v>10523.1</v>
      </c>
      <c r="I100" s="9">
        <f t="shared" si="32"/>
        <v>9207.4</v>
      </c>
      <c r="J100" s="9">
        <f t="shared" ref="J100" si="33">J101+J106</f>
        <v>10000</v>
      </c>
    </row>
    <row r="101" spans="1:10" ht="15" customHeight="1">
      <c r="A101" s="24" t="s">
        <v>22</v>
      </c>
      <c r="B101" s="25">
        <f t="shared" ref="B101:H101" si="34">SUM(B103:B105)</f>
        <v>23700</v>
      </c>
      <c r="C101" s="26">
        <f t="shared" si="34"/>
        <v>5700</v>
      </c>
      <c r="D101" s="26">
        <f t="shared" si="34"/>
        <v>11294</v>
      </c>
      <c r="E101" s="26">
        <f t="shared" si="34"/>
        <v>10057.200000000001</v>
      </c>
      <c r="F101" s="26">
        <f t="shared" si="34"/>
        <v>10723.1</v>
      </c>
      <c r="G101" s="26">
        <f t="shared" si="34"/>
        <v>7735</v>
      </c>
      <c r="H101" s="26">
        <f t="shared" si="34"/>
        <v>10523.1</v>
      </c>
      <c r="I101" s="26">
        <f>SUM(I103:I105)</f>
        <v>9207.4</v>
      </c>
      <c r="J101" s="26">
        <f>SUM(J103:J105)</f>
        <v>10000</v>
      </c>
    </row>
    <row r="102" spans="1:10" ht="11.1" customHeight="1">
      <c r="A102" s="11" t="s">
        <v>16</v>
      </c>
      <c r="B102" s="16"/>
      <c r="C102" s="27"/>
      <c r="D102" s="28"/>
      <c r="E102" s="28"/>
      <c r="F102" s="28"/>
      <c r="G102" s="28"/>
      <c r="H102" s="88"/>
      <c r="I102" s="27"/>
      <c r="J102" s="27"/>
    </row>
    <row r="103" spans="1:10" ht="12.75" customHeight="1">
      <c r="A103" s="15" t="s">
        <v>25</v>
      </c>
      <c r="B103" s="16">
        <v>200</v>
      </c>
      <c r="C103" s="17">
        <v>4000</v>
      </c>
      <c r="D103" s="18">
        <v>3994</v>
      </c>
      <c r="E103" s="18">
        <v>3037.2</v>
      </c>
      <c r="F103" s="18">
        <v>3729.3</v>
      </c>
      <c r="G103" s="18">
        <v>841.2</v>
      </c>
      <c r="H103" s="17">
        <v>3729.3</v>
      </c>
      <c r="I103" s="17">
        <v>3617.4</v>
      </c>
      <c r="J103" s="17">
        <f>3617.4-207.4</f>
        <v>3410</v>
      </c>
    </row>
    <row r="104" spans="1:10" ht="12.75" customHeight="1">
      <c r="A104" s="39" t="s">
        <v>138</v>
      </c>
      <c r="B104" s="16">
        <v>20000</v>
      </c>
      <c r="C104" s="17">
        <v>1200</v>
      </c>
      <c r="D104" s="18">
        <v>1300</v>
      </c>
      <c r="E104" s="18">
        <v>1300</v>
      </c>
      <c r="F104" s="18">
        <v>1300</v>
      </c>
      <c r="G104" s="18">
        <v>1200</v>
      </c>
      <c r="H104" s="17">
        <v>1100</v>
      </c>
      <c r="I104" s="17">
        <v>1067</v>
      </c>
      <c r="J104" s="17">
        <v>1067</v>
      </c>
    </row>
    <row r="105" spans="1:10" ht="12.75" customHeight="1">
      <c r="A105" s="40" t="s">
        <v>45</v>
      </c>
      <c r="B105" s="30">
        <v>3500</v>
      </c>
      <c r="C105" s="31">
        <v>500</v>
      </c>
      <c r="D105" s="32">
        <v>6000</v>
      </c>
      <c r="E105" s="32">
        <v>5720</v>
      </c>
      <c r="F105" s="32">
        <v>5693.8</v>
      </c>
      <c r="G105" s="32">
        <v>5693.8</v>
      </c>
      <c r="H105" s="31">
        <v>5693.8</v>
      </c>
      <c r="I105" s="31">
        <v>4523</v>
      </c>
      <c r="J105" s="31">
        <v>5523</v>
      </c>
    </row>
    <row r="106" spans="1:10" ht="12.75" hidden="1" customHeight="1">
      <c r="A106" s="24" t="s">
        <v>27</v>
      </c>
      <c r="B106" s="25"/>
      <c r="C106" s="26">
        <f t="shared" ref="C106" si="35">SUM(C109:C110)</f>
        <v>3500</v>
      </c>
      <c r="D106" s="26">
        <f t="shared" ref="D106:I106" si="36">SUM(D108:D110)</f>
        <v>0</v>
      </c>
      <c r="E106" s="26">
        <f t="shared" si="36"/>
        <v>0</v>
      </c>
      <c r="F106" s="26">
        <f t="shared" si="36"/>
        <v>0</v>
      </c>
      <c r="G106" s="26">
        <f t="shared" si="36"/>
        <v>93.6</v>
      </c>
      <c r="H106" s="26">
        <f t="shared" si="36"/>
        <v>0</v>
      </c>
      <c r="I106" s="26">
        <f t="shared" si="36"/>
        <v>0</v>
      </c>
      <c r="J106" s="26">
        <f t="shared" ref="J106" si="37">SUM(J108:J110)</f>
        <v>0</v>
      </c>
    </row>
    <row r="107" spans="1:10" ht="12.75" hidden="1" customHeight="1">
      <c r="A107" s="11" t="s">
        <v>16</v>
      </c>
      <c r="B107" s="16"/>
      <c r="C107" s="34"/>
      <c r="D107" s="35"/>
      <c r="E107" s="35"/>
      <c r="F107" s="35"/>
      <c r="G107" s="35"/>
      <c r="H107" s="34"/>
      <c r="I107" s="34"/>
      <c r="J107" s="34"/>
    </row>
    <row r="108" spans="1:10" ht="12.75" hidden="1" customHeight="1">
      <c r="A108" s="15"/>
      <c r="B108" s="16"/>
      <c r="C108" s="34"/>
      <c r="D108" s="35"/>
      <c r="E108" s="35"/>
      <c r="F108" s="35"/>
      <c r="G108" s="35"/>
      <c r="H108" s="34"/>
      <c r="I108" s="34"/>
      <c r="J108" s="34"/>
    </row>
    <row r="109" spans="1:10" ht="12.75" hidden="1" customHeight="1">
      <c r="A109" s="39"/>
      <c r="B109" s="16">
        <v>0</v>
      </c>
      <c r="C109" s="34">
        <v>500</v>
      </c>
      <c r="D109" s="35"/>
      <c r="E109" s="35"/>
      <c r="F109" s="35"/>
      <c r="G109" s="35"/>
      <c r="H109" s="34"/>
      <c r="I109" s="34"/>
      <c r="J109" s="34"/>
    </row>
    <row r="110" spans="1:10" ht="12.75" hidden="1" customHeight="1">
      <c r="A110" s="29"/>
      <c r="B110" s="30">
        <v>0</v>
      </c>
      <c r="C110" s="31">
        <v>3000</v>
      </c>
      <c r="D110" s="32"/>
      <c r="E110" s="32"/>
      <c r="F110" s="32"/>
      <c r="G110" s="32">
        <v>93.6</v>
      </c>
      <c r="H110" s="31"/>
      <c r="I110" s="31"/>
      <c r="J110" s="31"/>
    </row>
    <row r="111" spans="1:10" ht="21.95" customHeight="1">
      <c r="A111" s="7" t="s">
        <v>46</v>
      </c>
      <c r="B111" s="8">
        <f t="shared" ref="B111:J111" si="38">B112+B116</f>
        <v>469830</v>
      </c>
      <c r="C111" s="9">
        <f t="shared" si="38"/>
        <v>508374.2</v>
      </c>
      <c r="D111" s="9">
        <f t="shared" si="38"/>
        <v>338057.8</v>
      </c>
      <c r="E111" s="9">
        <f t="shared" si="38"/>
        <v>343695.7</v>
      </c>
      <c r="F111" s="9">
        <f t="shared" si="38"/>
        <v>338435.5</v>
      </c>
      <c r="G111" s="9">
        <f t="shared" si="38"/>
        <v>338221</v>
      </c>
      <c r="H111" s="9">
        <f t="shared" si="38"/>
        <v>345504</v>
      </c>
      <c r="I111" s="9">
        <f t="shared" si="38"/>
        <v>346639</v>
      </c>
      <c r="J111" s="9">
        <f t="shared" si="38"/>
        <v>346639</v>
      </c>
    </row>
    <row r="112" spans="1:10" ht="12.75" customHeight="1">
      <c r="A112" s="24" t="s">
        <v>47</v>
      </c>
      <c r="B112" s="25">
        <f t="shared" ref="B112:J112" si="39">SUM(B114:B115)</f>
        <v>321330</v>
      </c>
      <c r="C112" s="26">
        <f t="shared" si="39"/>
        <v>339280</v>
      </c>
      <c r="D112" s="26">
        <f t="shared" si="39"/>
        <v>338057.8</v>
      </c>
      <c r="E112" s="26">
        <f t="shared" si="39"/>
        <v>343175.7</v>
      </c>
      <c r="F112" s="26">
        <f t="shared" si="39"/>
        <v>338435.5</v>
      </c>
      <c r="G112" s="26">
        <f t="shared" si="39"/>
        <v>337232</v>
      </c>
      <c r="H112" s="26">
        <f t="shared" si="39"/>
        <v>345504</v>
      </c>
      <c r="I112" s="26">
        <f t="shared" si="39"/>
        <v>346639</v>
      </c>
      <c r="J112" s="26">
        <f t="shared" si="39"/>
        <v>346639</v>
      </c>
    </row>
    <row r="113" spans="1:10" ht="11.1" customHeight="1">
      <c r="A113" s="11" t="s">
        <v>16</v>
      </c>
      <c r="B113" s="16"/>
      <c r="C113" s="27"/>
      <c r="D113" s="28"/>
      <c r="E113" s="28"/>
      <c r="F113" s="28"/>
      <c r="G113" s="28"/>
      <c r="H113" s="88"/>
      <c r="I113" s="27"/>
      <c r="J113" s="27"/>
    </row>
    <row r="114" spans="1:10" ht="12.75" customHeight="1">
      <c r="A114" s="15" t="s">
        <v>40</v>
      </c>
      <c r="B114" s="16">
        <v>298668</v>
      </c>
      <c r="C114" s="17">
        <v>317530</v>
      </c>
      <c r="D114" s="18">
        <v>317845</v>
      </c>
      <c r="E114" s="18">
        <v>338400.3</v>
      </c>
      <c r="F114" s="18">
        <v>317256.5</v>
      </c>
      <c r="G114" s="18">
        <v>332889</v>
      </c>
      <c r="H114" s="17">
        <v>323675</v>
      </c>
      <c r="I114" s="17">
        <v>325745</v>
      </c>
      <c r="J114" s="17">
        <v>325745</v>
      </c>
    </row>
    <row r="115" spans="1:10" ht="12.75" customHeight="1">
      <c r="A115" s="29" t="s">
        <v>48</v>
      </c>
      <c r="B115" s="30">
        <v>22662</v>
      </c>
      <c r="C115" s="31">
        <v>21750</v>
      </c>
      <c r="D115" s="32">
        <v>20212.8</v>
      </c>
      <c r="E115" s="32">
        <v>4775.3999999999996</v>
      </c>
      <c r="F115" s="32">
        <v>21179</v>
      </c>
      <c r="G115" s="32">
        <v>4343</v>
      </c>
      <c r="H115" s="31">
        <f>23229-2000+600</f>
        <v>21829</v>
      </c>
      <c r="I115" s="31">
        <v>20894</v>
      </c>
      <c r="J115" s="31">
        <v>20894</v>
      </c>
    </row>
    <row r="116" spans="1:10" ht="12.75" hidden="1" customHeight="1">
      <c r="A116" s="24" t="s">
        <v>27</v>
      </c>
      <c r="B116" s="25">
        <f>B120</f>
        <v>148500</v>
      </c>
      <c r="C116" s="26">
        <f>C120</f>
        <v>169094.2</v>
      </c>
      <c r="D116" s="26">
        <f t="shared" ref="D116:I116" si="40">D120+D118+D119</f>
        <v>0</v>
      </c>
      <c r="E116" s="26">
        <f t="shared" si="40"/>
        <v>520</v>
      </c>
      <c r="F116" s="26">
        <f t="shared" si="40"/>
        <v>0</v>
      </c>
      <c r="G116" s="26">
        <f t="shared" si="40"/>
        <v>989</v>
      </c>
      <c r="H116" s="26">
        <f t="shared" si="40"/>
        <v>0</v>
      </c>
      <c r="I116" s="26">
        <f t="shared" si="40"/>
        <v>0</v>
      </c>
      <c r="J116" s="26">
        <f t="shared" ref="J116" si="41">J120+J118+J119</f>
        <v>0</v>
      </c>
    </row>
    <row r="117" spans="1:10" ht="9.75" hidden="1" customHeight="1">
      <c r="A117" s="11" t="s">
        <v>16</v>
      </c>
      <c r="B117" s="16"/>
      <c r="C117" s="34"/>
      <c r="D117" s="35"/>
      <c r="E117" s="35"/>
      <c r="F117" s="35"/>
      <c r="G117" s="35"/>
      <c r="H117" s="34"/>
      <c r="I117" s="34"/>
      <c r="J117" s="34"/>
    </row>
    <row r="118" spans="1:10" ht="12.75" hidden="1" customHeight="1">
      <c r="A118" s="15"/>
      <c r="B118" s="16"/>
      <c r="C118" s="34"/>
      <c r="D118" s="35"/>
      <c r="E118" s="35">
        <v>520</v>
      </c>
      <c r="F118" s="35"/>
      <c r="G118" s="35">
        <v>139</v>
      </c>
      <c r="H118" s="34"/>
      <c r="I118" s="34"/>
      <c r="J118" s="34"/>
    </row>
    <row r="119" spans="1:10" ht="12.75" hidden="1" customHeight="1">
      <c r="A119" s="29"/>
      <c r="B119" s="30"/>
      <c r="C119" s="36"/>
      <c r="D119" s="37"/>
      <c r="E119" s="37"/>
      <c r="F119" s="37"/>
      <c r="G119" s="37">
        <v>850</v>
      </c>
      <c r="H119" s="36"/>
      <c r="I119" s="36"/>
      <c r="J119" s="36"/>
    </row>
    <row r="120" spans="1:10" ht="12.75" hidden="1" customHeight="1">
      <c r="A120" s="40"/>
      <c r="B120" s="30">
        <v>148500</v>
      </c>
      <c r="C120" s="31">
        <v>169094.2</v>
      </c>
      <c r="D120" s="32"/>
      <c r="E120" s="32"/>
      <c r="F120" s="32"/>
      <c r="G120" s="32"/>
      <c r="H120" s="31"/>
      <c r="I120" s="31"/>
      <c r="J120" s="31"/>
    </row>
    <row r="121" spans="1:10" ht="21.95" customHeight="1">
      <c r="A121" s="7" t="s">
        <v>49</v>
      </c>
      <c r="B121" s="8" t="e">
        <f t="shared" ref="B121:J121" si="42">B122+B127</f>
        <v>#REF!</v>
      </c>
      <c r="C121" s="9">
        <f t="shared" si="42"/>
        <v>320382</v>
      </c>
      <c r="D121" s="9">
        <f t="shared" si="42"/>
        <v>409181.9</v>
      </c>
      <c r="E121" s="9">
        <f t="shared" si="42"/>
        <v>462287.8</v>
      </c>
      <c r="F121" s="9">
        <f t="shared" si="42"/>
        <v>387953</v>
      </c>
      <c r="G121" s="9">
        <f t="shared" si="42"/>
        <v>426092.69999999995</v>
      </c>
      <c r="H121" s="9">
        <f t="shared" si="42"/>
        <v>404841</v>
      </c>
      <c r="I121" s="9">
        <f t="shared" si="42"/>
        <v>692695.89999999991</v>
      </c>
      <c r="J121" s="9">
        <f t="shared" si="42"/>
        <v>705826</v>
      </c>
    </row>
    <row r="122" spans="1:10" ht="12.95" customHeight="1">
      <c r="A122" s="24" t="s">
        <v>105</v>
      </c>
      <c r="B122" s="25">
        <f t="shared" ref="B122:J122" si="43">SUM(B124:B126)</f>
        <v>295000</v>
      </c>
      <c r="C122" s="26">
        <f t="shared" si="43"/>
        <v>310382</v>
      </c>
      <c r="D122" s="26">
        <f t="shared" si="43"/>
        <v>406181.9</v>
      </c>
      <c r="E122" s="26">
        <f t="shared" si="43"/>
        <v>455787.8</v>
      </c>
      <c r="F122" s="26">
        <f t="shared" si="43"/>
        <v>387953</v>
      </c>
      <c r="G122" s="26">
        <f t="shared" si="43"/>
        <v>425792.69999999995</v>
      </c>
      <c r="H122" s="26">
        <f t="shared" si="43"/>
        <v>404841</v>
      </c>
      <c r="I122" s="26">
        <f t="shared" si="43"/>
        <v>392695.89999999997</v>
      </c>
      <c r="J122" s="26">
        <f t="shared" si="43"/>
        <v>405826</v>
      </c>
    </row>
    <row r="123" spans="1:10" ht="11.1" customHeight="1">
      <c r="A123" s="11" t="s">
        <v>16</v>
      </c>
      <c r="B123" s="16"/>
      <c r="C123" s="27"/>
      <c r="D123" s="28"/>
      <c r="E123" s="28"/>
      <c r="F123" s="28"/>
      <c r="G123" s="28"/>
      <c r="H123" s="27"/>
      <c r="I123" s="27"/>
      <c r="J123" s="27"/>
    </row>
    <row r="124" spans="1:10" ht="12.75" customHeight="1">
      <c r="A124" s="15" t="s">
        <v>40</v>
      </c>
      <c r="B124" s="16">
        <v>189798</v>
      </c>
      <c r="C124" s="17">
        <v>182762</v>
      </c>
      <c r="D124" s="18">
        <v>208971</v>
      </c>
      <c r="E124" s="18">
        <v>210083</v>
      </c>
      <c r="F124" s="18">
        <v>201688</v>
      </c>
      <c r="G124" s="18">
        <v>207243.1</v>
      </c>
      <c r="H124" s="17">
        <f>217206+100+1520</f>
        <v>218826</v>
      </c>
      <c r="I124" s="17">
        <v>212261.3</v>
      </c>
      <c r="J124" s="17">
        <v>218826</v>
      </c>
    </row>
    <row r="125" spans="1:10" ht="12.75" customHeight="1">
      <c r="A125" s="15" t="s">
        <v>125</v>
      </c>
      <c r="B125" s="16">
        <v>68960</v>
      </c>
      <c r="C125" s="17">
        <v>87240</v>
      </c>
      <c r="D125" s="18">
        <v>176250</v>
      </c>
      <c r="E125" s="18">
        <v>201250</v>
      </c>
      <c r="F125" s="18">
        <v>176250</v>
      </c>
      <c r="G125" s="18">
        <v>201250</v>
      </c>
      <c r="H125" s="17">
        <v>176000</v>
      </c>
      <c r="I125" s="17">
        <v>170720</v>
      </c>
      <c r="J125" s="17">
        <v>176000</v>
      </c>
    </row>
    <row r="126" spans="1:10" ht="12.75" customHeight="1">
      <c r="A126" s="15" t="s">
        <v>48</v>
      </c>
      <c r="B126" s="16">
        <v>36242</v>
      </c>
      <c r="C126" s="17">
        <v>40380</v>
      </c>
      <c r="D126" s="18">
        <f>12460.9+8500</f>
        <v>20960.900000000001</v>
      </c>
      <c r="E126" s="18">
        <v>44454.8</v>
      </c>
      <c r="F126" s="18">
        <v>10015</v>
      </c>
      <c r="G126" s="18">
        <v>17299.599999999999</v>
      </c>
      <c r="H126" s="17">
        <v>10015</v>
      </c>
      <c r="I126" s="17">
        <v>9714.6</v>
      </c>
      <c r="J126" s="17">
        <v>11000</v>
      </c>
    </row>
    <row r="127" spans="1:10" ht="12.75" customHeight="1">
      <c r="A127" s="24" t="s">
        <v>27</v>
      </c>
      <c r="B127" s="25" t="e">
        <f>#REF!</f>
        <v>#REF!</v>
      </c>
      <c r="C127" s="26">
        <f t="shared" ref="C127" si="44">C131</f>
        <v>10000</v>
      </c>
      <c r="D127" s="26">
        <f t="shared" ref="D127:J127" si="45">SUM(D129:D131)</f>
        <v>3000</v>
      </c>
      <c r="E127" s="26">
        <f t="shared" si="45"/>
        <v>6500</v>
      </c>
      <c r="F127" s="26">
        <f t="shared" si="45"/>
        <v>0</v>
      </c>
      <c r="G127" s="26">
        <f t="shared" si="45"/>
        <v>300</v>
      </c>
      <c r="H127" s="26">
        <f t="shared" si="45"/>
        <v>0</v>
      </c>
      <c r="I127" s="26">
        <f t="shared" si="45"/>
        <v>300000</v>
      </c>
      <c r="J127" s="26">
        <f t="shared" si="45"/>
        <v>300000</v>
      </c>
    </row>
    <row r="128" spans="1:10" ht="9.75" customHeight="1">
      <c r="A128" s="11" t="s">
        <v>16</v>
      </c>
      <c r="B128" s="16"/>
      <c r="C128" s="34"/>
      <c r="D128" s="35"/>
      <c r="E128" s="35"/>
      <c r="F128" s="35"/>
      <c r="G128" s="35"/>
      <c r="H128" s="34"/>
      <c r="I128" s="34"/>
      <c r="J128" s="34"/>
    </row>
    <row r="129" spans="1:10" ht="12.75" customHeight="1">
      <c r="A129" s="29" t="s">
        <v>155</v>
      </c>
      <c r="B129" s="30"/>
      <c r="C129" s="36"/>
      <c r="D129" s="37"/>
      <c r="E129" s="37">
        <v>3500</v>
      </c>
      <c r="F129" s="37"/>
      <c r="G129" s="37"/>
      <c r="H129" s="36"/>
      <c r="I129" s="36">
        <v>300000</v>
      </c>
      <c r="J129" s="36">
        <v>300000</v>
      </c>
    </row>
    <row r="130" spans="1:10" ht="12.75" hidden="1" customHeight="1">
      <c r="A130" s="15"/>
      <c r="B130" s="16"/>
      <c r="C130" s="34"/>
      <c r="D130" s="35"/>
      <c r="E130" s="35"/>
      <c r="F130" s="35"/>
      <c r="G130" s="35">
        <v>300</v>
      </c>
      <c r="H130" s="34"/>
      <c r="I130" s="34"/>
      <c r="J130" s="34"/>
    </row>
    <row r="131" spans="1:10" ht="12.75" hidden="1" customHeight="1">
      <c r="A131" s="81"/>
      <c r="B131" s="30"/>
      <c r="C131" s="36">
        <v>10000</v>
      </c>
      <c r="D131" s="37">
        <v>3000</v>
      </c>
      <c r="E131" s="37">
        <v>3000</v>
      </c>
      <c r="F131" s="37"/>
      <c r="G131" s="37"/>
      <c r="H131" s="36"/>
      <c r="I131" s="36"/>
      <c r="J131" s="36"/>
    </row>
    <row r="132" spans="1:10" ht="21.95" customHeight="1">
      <c r="A132" s="7" t="s">
        <v>50</v>
      </c>
      <c r="B132" s="8">
        <f t="shared" ref="B132:C132" si="46">B133</f>
        <v>122329</v>
      </c>
      <c r="C132" s="9">
        <f t="shared" si="46"/>
        <v>141540</v>
      </c>
      <c r="D132" s="9">
        <f t="shared" ref="D132:J132" si="47">D133+D138</f>
        <v>153702.5</v>
      </c>
      <c r="E132" s="9">
        <f t="shared" si="47"/>
        <v>142045.5</v>
      </c>
      <c r="F132" s="9">
        <f t="shared" si="47"/>
        <v>149050.79999999999</v>
      </c>
      <c r="G132" s="9">
        <f t="shared" si="47"/>
        <v>132068.6</v>
      </c>
      <c r="H132" s="9">
        <f t="shared" si="47"/>
        <v>149450.79999999999</v>
      </c>
      <c r="I132" s="9">
        <f t="shared" si="47"/>
        <v>140965</v>
      </c>
      <c r="J132" s="9">
        <f t="shared" si="47"/>
        <v>142965</v>
      </c>
    </row>
    <row r="133" spans="1:10" ht="15" customHeight="1">
      <c r="A133" s="24" t="s">
        <v>51</v>
      </c>
      <c r="B133" s="25">
        <f t="shared" ref="B133:H133" si="48">SUM(B135:B137)</f>
        <v>122329</v>
      </c>
      <c r="C133" s="26">
        <f t="shared" si="48"/>
        <v>141540</v>
      </c>
      <c r="D133" s="26">
        <f t="shared" si="48"/>
        <v>153702.5</v>
      </c>
      <c r="E133" s="26">
        <f t="shared" si="48"/>
        <v>141345.5</v>
      </c>
      <c r="F133" s="26">
        <f t="shared" si="48"/>
        <v>149050.79999999999</v>
      </c>
      <c r="G133" s="26">
        <f t="shared" si="48"/>
        <v>128568.6</v>
      </c>
      <c r="H133" s="26">
        <f t="shared" si="48"/>
        <v>149450.79999999999</v>
      </c>
      <c r="I133" s="26">
        <f>SUM(I135:I137)</f>
        <v>140965</v>
      </c>
      <c r="J133" s="26">
        <f>SUM(J135:J137)</f>
        <v>142965</v>
      </c>
    </row>
    <row r="134" spans="1:10" ht="11.1" customHeight="1">
      <c r="A134" s="11" t="s">
        <v>16</v>
      </c>
      <c r="B134" s="16"/>
      <c r="C134" s="27"/>
      <c r="D134" s="41"/>
      <c r="E134" s="28"/>
      <c r="F134" s="41"/>
      <c r="G134" s="41"/>
      <c r="H134" s="88"/>
      <c r="I134" s="27"/>
      <c r="J134" s="27"/>
    </row>
    <row r="135" spans="1:10" ht="12.75" customHeight="1">
      <c r="A135" s="15" t="s">
        <v>40</v>
      </c>
      <c r="B135" s="16">
        <v>101506</v>
      </c>
      <c r="C135" s="17">
        <v>109952</v>
      </c>
      <c r="D135" s="18">
        <v>127400</v>
      </c>
      <c r="E135" s="18">
        <v>127990</v>
      </c>
      <c r="F135" s="18">
        <v>123850.8</v>
      </c>
      <c r="G135" s="18">
        <v>125777.3</v>
      </c>
      <c r="H135" s="17">
        <v>126050</v>
      </c>
      <c r="I135" s="17">
        <v>122850</v>
      </c>
      <c r="J135" s="17">
        <v>123300</v>
      </c>
    </row>
    <row r="136" spans="1:10" ht="12.75" customHeight="1">
      <c r="A136" s="15" t="s">
        <v>137</v>
      </c>
      <c r="B136" s="16"/>
      <c r="C136" s="17">
        <v>2750</v>
      </c>
      <c r="D136" s="18">
        <v>3200</v>
      </c>
      <c r="E136" s="18">
        <v>2778</v>
      </c>
      <c r="F136" s="18">
        <v>3000</v>
      </c>
      <c r="G136" s="18">
        <v>2791.3</v>
      </c>
      <c r="H136" s="17">
        <v>2900</v>
      </c>
      <c r="I136" s="17">
        <v>3115</v>
      </c>
      <c r="J136" s="17">
        <v>3115</v>
      </c>
    </row>
    <row r="137" spans="1:10" ht="12.75" customHeight="1">
      <c r="A137" s="29" t="s">
        <v>25</v>
      </c>
      <c r="B137" s="30">
        <v>20823</v>
      </c>
      <c r="C137" s="31">
        <v>28838</v>
      </c>
      <c r="D137" s="32">
        <v>23102.5</v>
      </c>
      <c r="E137" s="32">
        <v>10577.5</v>
      </c>
      <c r="F137" s="32">
        <v>22200</v>
      </c>
      <c r="G137" s="32"/>
      <c r="H137" s="31">
        <f>149050.8-H135-H136+400</f>
        <v>20500.799999999988</v>
      </c>
      <c r="I137" s="31">
        <f>2900+8000+5500+1000+1600-4000</f>
        <v>15000</v>
      </c>
      <c r="J137" s="31">
        <v>16550</v>
      </c>
    </row>
    <row r="138" spans="1:10" ht="12.75" hidden="1" customHeight="1">
      <c r="A138" s="24" t="s">
        <v>27</v>
      </c>
      <c r="B138" s="25">
        <f>B142</f>
        <v>13853</v>
      </c>
      <c r="C138" s="26">
        <f t="shared" ref="C138" si="49">SUM(C141:C142)</f>
        <v>45586</v>
      </c>
      <c r="D138" s="26">
        <f t="shared" ref="D138:I138" si="50">D141</f>
        <v>0</v>
      </c>
      <c r="E138" s="26">
        <f t="shared" si="50"/>
        <v>700</v>
      </c>
      <c r="F138" s="26">
        <f t="shared" si="50"/>
        <v>0</v>
      </c>
      <c r="G138" s="26">
        <f>G141+G140</f>
        <v>3500</v>
      </c>
      <c r="H138" s="26">
        <f t="shared" ref="H138" si="51">H141</f>
        <v>0</v>
      </c>
      <c r="I138" s="26">
        <f t="shared" si="50"/>
        <v>0</v>
      </c>
      <c r="J138" s="26">
        <f t="shared" ref="J138" si="52">J141</f>
        <v>0</v>
      </c>
    </row>
    <row r="139" spans="1:10" ht="9.75" hidden="1" customHeight="1">
      <c r="A139" s="11" t="s">
        <v>7</v>
      </c>
      <c r="B139" s="16"/>
      <c r="C139" s="27"/>
      <c r="D139" s="28"/>
      <c r="E139" s="28"/>
      <c r="F139" s="28"/>
      <c r="G139" s="28"/>
      <c r="H139" s="88"/>
      <c r="I139" s="17"/>
      <c r="J139" s="17"/>
    </row>
    <row r="140" spans="1:10" ht="15" hidden="1" customHeight="1">
      <c r="A140" s="15"/>
      <c r="B140" s="16"/>
      <c r="C140" s="27"/>
      <c r="D140" s="28"/>
      <c r="E140" s="28"/>
      <c r="F140" s="28"/>
      <c r="G140" s="28">
        <v>3500</v>
      </c>
      <c r="H140" s="88"/>
      <c r="I140" s="17"/>
      <c r="J140" s="17"/>
    </row>
    <row r="141" spans="1:10" ht="12.75" hidden="1" customHeight="1">
      <c r="A141" s="29"/>
      <c r="B141" s="30">
        <v>0</v>
      </c>
      <c r="C141" s="31">
        <v>4750</v>
      </c>
      <c r="D141" s="32"/>
      <c r="E141" s="32">
        <v>700</v>
      </c>
      <c r="F141" s="32"/>
      <c r="G141" s="32"/>
      <c r="H141" s="38"/>
      <c r="I141" s="31"/>
      <c r="J141" s="31"/>
    </row>
    <row r="142" spans="1:10" ht="21.95" customHeight="1">
      <c r="A142" s="7" t="s">
        <v>52</v>
      </c>
      <c r="B142" s="8">
        <f t="shared" ref="B142:C142" si="53">B143</f>
        <v>13853</v>
      </c>
      <c r="C142" s="9">
        <f t="shared" si="53"/>
        <v>40836</v>
      </c>
      <c r="D142" s="9">
        <f t="shared" ref="D142:J142" si="54">D143+D148</f>
        <v>87378.2</v>
      </c>
      <c r="E142" s="9">
        <f t="shared" si="54"/>
        <v>126502.9</v>
      </c>
      <c r="F142" s="9">
        <f t="shared" si="54"/>
        <v>116178.4</v>
      </c>
      <c r="G142" s="9">
        <f t="shared" si="54"/>
        <v>155622.5</v>
      </c>
      <c r="H142" s="9">
        <f t="shared" si="54"/>
        <v>163751</v>
      </c>
      <c r="I142" s="9">
        <f t="shared" si="54"/>
        <v>163499</v>
      </c>
      <c r="J142" s="9">
        <f t="shared" si="54"/>
        <v>163499</v>
      </c>
    </row>
    <row r="143" spans="1:10" ht="15" customHeight="1">
      <c r="A143" s="24" t="s">
        <v>53</v>
      </c>
      <c r="B143" s="25">
        <f>SUM(B145:B147)</f>
        <v>13853</v>
      </c>
      <c r="C143" s="26">
        <f>SUM(C145:C147)</f>
        <v>40836</v>
      </c>
      <c r="D143" s="26">
        <f t="shared" ref="D143:H143" si="55">SUM(D145:D147)</f>
        <v>87378.2</v>
      </c>
      <c r="E143" s="26">
        <f t="shared" si="55"/>
        <v>125204.2</v>
      </c>
      <c r="F143" s="26">
        <f t="shared" si="55"/>
        <v>116178.4</v>
      </c>
      <c r="G143" s="26">
        <f t="shared" si="55"/>
        <v>155522.5</v>
      </c>
      <c r="H143" s="26">
        <f t="shared" si="55"/>
        <v>163751</v>
      </c>
      <c r="I143" s="26">
        <f>SUM(I145:I147)</f>
        <v>163499</v>
      </c>
      <c r="J143" s="26">
        <f>SUM(J145:J147)</f>
        <v>163499</v>
      </c>
    </row>
    <row r="144" spans="1:10" ht="11.1" customHeight="1">
      <c r="A144" s="11" t="s">
        <v>16</v>
      </c>
      <c r="B144" s="16"/>
      <c r="C144" s="27"/>
      <c r="D144" s="42"/>
      <c r="E144" s="28"/>
      <c r="F144" s="42"/>
      <c r="G144" s="42"/>
      <c r="H144" s="88"/>
      <c r="I144" s="27"/>
      <c r="J144" s="27"/>
    </row>
    <row r="145" spans="1:10" ht="12.75" customHeight="1">
      <c r="A145" s="15" t="s">
        <v>54</v>
      </c>
      <c r="B145" s="16">
        <v>8067</v>
      </c>
      <c r="C145" s="17">
        <v>35050</v>
      </c>
      <c r="D145" s="18">
        <v>78118.2</v>
      </c>
      <c r="E145" s="18">
        <v>117658.8</v>
      </c>
      <c r="F145" s="18">
        <v>107778.4</v>
      </c>
      <c r="G145" s="18">
        <v>119472</v>
      </c>
      <c r="H145" s="17">
        <f>132851-3500</f>
        <v>129351</v>
      </c>
      <c r="I145" s="17">
        <v>129351</v>
      </c>
      <c r="J145" s="17">
        <v>129351</v>
      </c>
    </row>
    <row r="146" spans="1:10" ht="12.75" customHeight="1">
      <c r="A146" s="15" t="s">
        <v>122</v>
      </c>
      <c r="B146" s="16"/>
      <c r="C146" s="17"/>
      <c r="D146" s="18"/>
      <c r="E146" s="18"/>
      <c r="F146" s="18"/>
      <c r="G146" s="18">
        <v>26479</v>
      </c>
      <c r="H146" s="17">
        <v>26000</v>
      </c>
      <c r="I146" s="17">
        <v>26000</v>
      </c>
      <c r="J146" s="17">
        <v>26000</v>
      </c>
    </row>
    <row r="147" spans="1:10" ht="12.75" customHeight="1">
      <c r="A147" s="29" t="s">
        <v>25</v>
      </c>
      <c r="B147" s="30">
        <v>5786</v>
      </c>
      <c r="C147" s="31">
        <v>5786</v>
      </c>
      <c r="D147" s="32">
        <v>9260</v>
      </c>
      <c r="E147" s="32">
        <v>7545.4</v>
      </c>
      <c r="F147" s="32">
        <v>8400</v>
      </c>
      <c r="G147" s="32">
        <v>9571.5</v>
      </c>
      <c r="H147" s="31">
        <v>8400</v>
      </c>
      <c r="I147" s="31">
        <v>8148</v>
      </c>
      <c r="J147" s="31">
        <f>8148</f>
        <v>8148</v>
      </c>
    </row>
    <row r="148" spans="1:10" ht="12.75" hidden="1" customHeight="1">
      <c r="A148" s="24" t="s">
        <v>27</v>
      </c>
      <c r="B148" s="25" t="e">
        <f>B152</f>
        <v>#REF!</v>
      </c>
      <c r="C148" s="26" t="e">
        <f t="shared" ref="C148" si="56">SUM(C151:C152)</f>
        <v>#REF!</v>
      </c>
      <c r="D148" s="26">
        <f>SUM(D150:D151)</f>
        <v>0</v>
      </c>
      <c r="E148" s="26">
        <f t="shared" ref="E148:H148" si="57">SUM(E150:E151)</f>
        <v>1298.7</v>
      </c>
      <c r="F148" s="26">
        <f t="shared" si="57"/>
        <v>0</v>
      </c>
      <c r="G148" s="26">
        <f t="shared" si="57"/>
        <v>100</v>
      </c>
      <c r="H148" s="26">
        <f t="shared" si="57"/>
        <v>0</v>
      </c>
      <c r="I148" s="26">
        <f t="shared" ref="I148" si="58">SUM(I151:I151)</f>
        <v>0</v>
      </c>
      <c r="J148" s="26">
        <f t="shared" ref="J148" si="59">SUM(J151:J151)</f>
        <v>0</v>
      </c>
    </row>
    <row r="149" spans="1:10" ht="9.75" hidden="1" customHeight="1">
      <c r="A149" s="11" t="s">
        <v>7</v>
      </c>
      <c r="B149" s="16"/>
      <c r="C149" s="27"/>
      <c r="D149" s="28"/>
      <c r="E149" s="28"/>
      <c r="F149" s="28"/>
      <c r="G149" s="28"/>
      <c r="H149" s="88"/>
      <c r="I149" s="17"/>
      <c r="J149" s="17"/>
    </row>
    <row r="150" spans="1:10" ht="12.75" hidden="1" customHeight="1">
      <c r="A150" s="15"/>
      <c r="B150" s="16"/>
      <c r="C150" s="27"/>
      <c r="D150" s="28"/>
      <c r="E150" s="28">
        <v>866.2</v>
      </c>
      <c r="F150" s="28"/>
      <c r="G150" s="28"/>
      <c r="H150" s="88"/>
      <c r="I150" s="17"/>
      <c r="J150" s="17"/>
    </row>
    <row r="151" spans="1:10" ht="12.75" hidden="1" customHeight="1">
      <c r="A151" s="29"/>
      <c r="B151" s="30">
        <v>0</v>
      </c>
      <c r="C151" s="31">
        <v>4750</v>
      </c>
      <c r="D151" s="32"/>
      <c r="E151" s="32">
        <v>432.5</v>
      </c>
      <c r="F151" s="32"/>
      <c r="G151" s="32">
        <v>100</v>
      </c>
      <c r="H151" s="38"/>
      <c r="I151" s="31"/>
      <c r="J151" s="31"/>
    </row>
    <row r="152" spans="1:10" ht="21.95" customHeight="1">
      <c r="A152" s="7" t="s">
        <v>55</v>
      </c>
      <c r="B152" s="8" t="e">
        <f>B155+B157</f>
        <v>#REF!</v>
      </c>
      <c r="C152" s="9" t="e">
        <f t="shared" ref="C152:J152" si="60">C153+C157</f>
        <v>#REF!</v>
      </c>
      <c r="D152" s="9" t="e">
        <f t="shared" si="60"/>
        <v>#REF!</v>
      </c>
      <c r="E152" s="9" t="e">
        <f t="shared" si="60"/>
        <v>#REF!</v>
      </c>
      <c r="F152" s="9" t="e">
        <f t="shared" si="60"/>
        <v>#REF!</v>
      </c>
      <c r="G152" s="9">
        <f t="shared" si="60"/>
        <v>10829.3</v>
      </c>
      <c r="H152" s="9">
        <f t="shared" si="60"/>
        <v>14624</v>
      </c>
      <c r="I152" s="9">
        <f t="shared" si="60"/>
        <v>13000</v>
      </c>
      <c r="J152" s="9">
        <f t="shared" si="60"/>
        <v>19867</v>
      </c>
    </row>
    <row r="153" spans="1:10" ht="12.75" customHeight="1">
      <c r="A153" s="24" t="s">
        <v>22</v>
      </c>
      <c r="B153" s="25">
        <f>B155</f>
        <v>2685</v>
      </c>
      <c r="C153" s="26">
        <f>C155</f>
        <v>6050</v>
      </c>
      <c r="D153" s="26">
        <f t="shared" ref="D153:J153" si="61">SUM(D155:D156)</f>
        <v>5920</v>
      </c>
      <c r="E153" s="26">
        <f t="shared" si="61"/>
        <v>7206.3</v>
      </c>
      <c r="F153" s="26">
        <f t="shared" si="61"/>
        <v>14624</v>
      </c>
      <c r="G153" s="26">
        <f t="shared" si="61"/>
        <v>10629.3</v>
      </c>
      <c r="H153" s="26">
        <f t="shared" si="61"/>
        <v>14624</v>
      </c>
      <c r="I153" s="26">
        <f t="shared" si="61"/>
        <v>13000</v>
      </c>
      <c r="J153" s="26">
        <f t="shared" si="61"/>
        <v>15336.6</v>
      </c>
    </row>
    <row r="154" spans="1:10" ht="11.1" customHeight="1">
      <c r="A154" s="11" t="s">
        <v>16</v>
      </c>
      <c r="B154" s="16"/>
      <c r="C154" s="27"/>
      <c r="D154" s="28"/>
      <c r="E154" s="28"/>
      <c r="F154" s="28"/>
      <c r="G154" s="28"/>
      <c r="H154" s="27"/>
      <c r="I154" s="27"/>
      <c r="J154" s="27"/>
    </row>
    <row r="155" spans="1:10" ht="12.75" customHeight="1">
      <c r="A155" s="15" t="s">
        <v>25</v>
      </c>
      <c r="B155" s="16">
        <f>4785-2100</f>
        <v>2685</v>
      </c>
      <c r="C155" s="17">
        <v>6050</v>
      </c>
      <c r="D155" s="18">
        <v>5920</v>
      </c>
      <c r="E155" s="18">
        <v>7206.3</v>
      </c>
      <c r="F155" s="18">
        <v>14624</v>
      </c>
      <c r="G155" s="18">
        <v>10629.3</v>
      </c>
      <c r="H155" s="17">
        <v>14624</v>
      </c>
      <c r="I155" s="17">
        <v>13000</v>
      </c>
      <c r="J155" s="17">
        <f>13000-2500</f>
        <v>10500</v>
      </c>
    </row>
    <row r="156" spans="1:10" ht="12.75" customHeight="1">
      <c r="A156" s="15" t="s">
        <v>142</v>
      </c>
      <c r="B156" s="16"/>
      <c r="C156" s="17"/>
      <c r="D156" s="18"/>
      <c r="E156" s="18"/>
      <c r="F156" s="18"/>
      <c r="G156" s="18"/>
      <c r="H156" s="17"/>
      <c r="I156" s="17"/>
      <c r="J156" s="17">
        <v>4836.6000000000004</v>
      </c>
    </row>
    <row r="157" spans="1:10" ht="12.75" customHeight="1">
      <c r="A157" s="24" t="s">
        <v>27</v>
      </c>
      <c r="B157" s="25" t="e">
        <f>#REF!</f>
        <v>#REF!</v>
      </c>
      <c r="C157" s="26" t="e">
        <f>#REF!</f>
        <v>#REF!</v>
      </c>
      <c r="D157" s="26" t="e">
        <f>#REF!+D159+#REF!+#REF!</f>
        <v>#REF!</v>
      </c>
      <c r="E157" s="26" t="e">
        <f>#REF!+E159+#REF!+#REF!</f>
        <v>#REF!</v>
      </c>
      <c r="F157" s="26" t="e">
        <f>#REF!+F159+#REF!+#REF!</f>
        <v>#REF!</v>
      </c>
      <c r="G157" s="26">
        <f>SUM(G159:G159)</f>
        <v>200</v>
      </c>
      <c r="H157" s="26">
        <f>SUM(H159:H159)</f>
        <v>0</v>
      </c>
      <c r="I157" s="26">
        <f>SUM(I159:I159)</f>
        <v>0</v>
      </c>
      <c r="J157" s="26">
        <f>SUM(J159:J159)</f>
        <v>4530.3999999999996</v>
      </c>
    </row>
    <row r="158" spans="1:10" ht="9" customHeight="1">
      <c r="A158" s="11" t="s">
        <v>16</v>
      </c>
      <c r="B158" s="16"/>
      <c r="C158" s="34"/>
      <c r="D158" s="35"/>
      <c r="E158" s="35"/>
      <c r="F158" s="35"/>
      <c r="G158" s="35"/>
      <c r="H158" s="17"/>
      <c r="I158" s="34"/>
      <c r="J158" s="34"/>
    </row>
    <row r="159" spans="1:10" ht="12.75" customHeight="1">
      <c r="A159" s="29" t="s">
        <v>148</v>
      </c>
      <c r="B159" s="30"/>
      <c r="C159" s="36"/>
      <c r="D159" s="37">
        <v>600</v>
      </c>
      <c r="E159" s="37"/>
      <c r="F159" s="37"/>
      <c r="G159" s="37">
        <v>200</v>
      </c>
      <c r="H159" s="31"/>
      <c r="I159" s="36"/>
      <c r="J159" s="36">
        <f>8171+1196-4836.6</f>
        <v>4530.3999999999996</v>
      </c>
    </row>
    <row r="160" spans="1:10" ht="24.95" customHeight="1">
      <c r="A160" s="7" t="s">
        <v>56</v>
      </c>
      <c r="B160" s="8">
        <f t="shared" ref="B160:I160" si="62">B161+B164</f>
        <v>5705</v>
      </c>
      <c r="C160" s="9">
        <f t="shared" si="62"/>
        <v>5705</v>
      </c>
      <c r="D160" s="9">
        <f t="shared" si="62"/>
        <v>5505.2999999999993</v>
      </c>
      <c r="E160" s="9">
        <f t="shared" si="62"/>
        <v>925.6</v>
      </c>
      <c r="F160" s="9">
        <f t="shared" si="62"/>
        <v>5263.4</v>
      </c>
      <c r="G160" s="9">
        <f t="shared" si="62"/>
        <v>2205.6</v>
      </c>
      <c r="H160" s="9">
        <f t="shared" si="62"/>
        <v>5263.4</v>
      </c>
      <c r="I160" s="9">
        <f t="shared" si="62"/>
        <v>2105.5</v>
      </c>
      <c r="J160" s="9">
        <f t="shared" ref="J160" si="63">J161+J164</f>
        <v>2105.5</v>
      </c>
    </row>
    <row r="161" spans="1:10" ht="15" customHeight="1">
      <c r="A161" s="24" t="s">
        <v>22</v>
      </c>
      <c r="B161" s="25">
        <f>SUM(B163:B163)</f>
        <v>4215</v>
      </c>
      <c r="C161" s="26">
        <f t="shared" ref="C161:I161" si="64">C163</f>
        <v>3574.9</v>
      </c>
      <c r="D161" s="26">
        <f t="shared" si="64"/>
        <v>4838.8999999999996</v>
      </c>
      <c r="E161" s="26">
        <f t="shared" si="64"/>
        <v>925.6</v>
      </c>
      <c r="F161" s="26">
        <f t="shared" si="64"/>
        <v>3883.4</v>
      </c>
      <c r="G161" s="26">
        <f t="shared" si="64"/>
        <v>2205.6</v>
      </c>
      <c r="H161" s="26">
        <f t="shared" si="64"/>
        <v>5263.4</v>
      </c>
      <c r="I161" s="26">
        <f t="shared" si="64"/>
        <v>2105.5</v>
      </c>
      <c r="J161" s="26">
        <f t="shared" ref="J161" si="65">J163</f>
        <v>2105.5</v>
      </c>
    </row>
    <row r="162" spans="1:10" ht="11.1" customHeight="1">
      <c r="A162" s="11" t="s">
        <v>16</v>
      </c>
      <c r="B162" s="16"/>
      <c r="C162" s="27"/>
      <c r="D162" s="28"/>
      <c r="E162" s="28"/>
      <c r="F162" s="28"/>
      <c r="G162" s="28"/>
      <c r="H162" s="27"/>
      <c r="I162" s="27"/>
      <c r="J162" s="27"/>
    </row>
    <row r="163" spans="1:10" ht="12.75" customHeight="1">
      <c r="A163" s="29" t="s">
        <v>48</v>
      </c>
      <c r="B163" s="30">
        <v>4215</v>
      </c>
      <c r="C163" s="31">
        <v>3574.9</v>
      </c>
      <c r="D163" s="32">
        <v>4838.8999999999996</v>
      </c>
      <c r="E163" s="32">
        <v>925.6</v>
      </c>
      <c r="F163" s="32">
        <v>3883.4</v>
      </c>
      <c r="G163" s="32">
        <v>2205.6</v>
      </c>
      <c r="H163" s="31">
        <v>5263.4</v>
      </c>
      <c r="I163" s="31">
        <v>2105.5</v>
      </c>
      <c r="J163" s="31">
        <v>2105.5</v>
      </c>
    </row>
    <row r="164" spans="1:10" ht="15" hidden="1" customHeight="1">
      <c r="A164" s="24" t="s">
        <v>27</v>
      </c>
      <c r="B164" s="25">
        <v>1490</v>
      </c>
      <c r="C164" s="26">
        <f t="shared" ref="C164:I164" si="66">C166</f>
        <v>2130.1</v>
      </c>
      <c r="D164" s="26">
        <f t="shared" si="66"/>
        <v>666.4</v>
      </c>
      <c r="E164" s="26">
        <f t="shared" si="66"/>
        <v>0</v>
      </c>
      <c r="F164" s="26">
        <f t="shared" si="66"/>
        <v>1380</v>
      </c>
      <c r="G164" s="26">
        <f t="shared" si="66"/>
        <v>0</v>
      </c>
      <c r="H164" s="26">
        <f t="shared" si="66"/>
        <v>0</v>
      </c>
      <c r="I164" s="26">
        <f t="shared" si="66"/>
        <v>0</v>
      </c>
      <c r="J164" s="26">
        <f t="shared" ref="J164" si="67">J166</f>
        <v>0</v>
      </c>
    </row>
    <row r="165" spans="1:10" ht="11.1" hidden="1" customHeight="1">
      <c r="A165" s="11" t="s">
        <v>16</v>
      </c>
      <c r="B165" s="16"/>
      <c r="C165" s="34"/>
      <c r="D165" s="35"/>
      <c r="E165" s="35"/>
      <c r="F165" s="35"/>
      <c r="G165" s="35"/>
      <c r="H165" s="34"/>
      <c r="I165" s="34"/>
      <c r="J165" s="34"/>
    </row>
    <row r="166" spans="1:10" ht="12.75" hidden="1" customHeight="1">
      <c r="A166" s="29" t="s">
        <v>34</v>
      </c>
      <c r="B166" s="30">
        <v>1490</v>
      </c>
      <c r="C166" s="31">
        <v>2130.1</v>
      </c>
      <c r="D166" s="32">
        <v>666.4</v>
      </c>
      <c r="E166" s="32"/>
      <c r="F166" s="32">
        <v>1380</v>
      </c>
      <c r="G166" s="32"/>
      <c r="H166" s="31"/>
      <c r="I166" s="31"/>
      <c r="J166" s="31"/>
    </row>
    <row r="167" spans="1:10" ht="18.95" customHeight="1">
      <c r="A167" s="7" t="s">
        <v>57</v>
      </c>
      <c r="B167" s="8">
        <f t="shared" ref="B167:J167" si="68">B168</f>
        <v>59734</v>
      </c>
      <c r="C167" s="9">
        <f t="shared" si="68"/>
        <v>22679</v>
      </c>
      <c r="D167" s="9">
        <f t="shared" si="68"/>
        <v>168000</v>
      </c>
      <c r="E167" s="9">
        <f t="shared" si="68"/>
        <v>15697.8</v>
      </c>
      <c r="F167" s="9">
        <f t="shared" si="68"/>
        <v>125548</v>
      </c>
      <c r="G167" s="9">
        <f t="shared" si="68"/>
        <v>13226.4</v>
      </c>
      <c r="H167" s="9">
        <f t="shared" si="68"/>
        <v>88831.5</v>
      </c>
      <c r="I167" s="9">
        <f t="shared" si="68"/>
        <v>156481.5</v>
      </c>
      <c r="J167" s="9">
        <f t="shared" si="68"/>
        <v>136449.1</v>
      </c>
    </row>
    <row r="168" spans="1:10" ht="15" customHeight="1">
      <c r="A168" s="24" t="s">
        <v>22</v>
      </c>
      <c r="B168" s="25">
        <f t="shared" ref="B168:J168" si="69">SUM(B170:B171)</f>
        <v>59734</v>
      </c>
      <c r="C168" s="26">
        <f t="shared" si="69"/>
        <v>22679</v>
      </c>
      <c r="D168" s="26">
        <f t="shared" si="69"/>
        <v>168000</v>
      </c>
      <c r="E168" s="26">
        <f t="shared" si="69"/>
        <v>15697.8</v>
      </c>
      <c r="F168" s="26">
        <f t="shared" si="69"/>
        <v>125548</v>
      </c>
      <c r="G168" s="26">
        <f t="shared" si="69"/>
        <v>13226.4</v>
      </c>
      <c r="H168" s="26">
        <f t="shared" si="69"/>
        <v>88831.5</v>
      </c>
      <c r="I168" s="26">
        <f t="shared" si="69"/>
        <v>156481.5</v>
      </c>
      <c r="J168" s="26">
        <f t="shared" si="69"/>
        <v>136449.1</v>
      </c>
    </row>
    <row r="169" spans="1:10" ht="11.1" customHeight="1">
      <c r="A169" s="11" t="s">
        <v>16</v>
      </c>
      <c r="B169" s="12"/>
      <c r="C169" s="27"/>
      <c r="D169" s="28"/>
      <c r="E169" s="28"/>
      <c r="F169" s="28"/>
      <c r="G169" s="28"/>
      <c r="H169" s="88"/>
      <c r="I169" s="27"/>
      <c r="J169" s="27"/>
    </row>
    <row r="170" spans="1:10" ht="25.5" customHeight="1">
      <c r="A170" s="100" t="s">
        <v>150</v>
      </c>
      <c r="B170" s="16">
        <v>39734</v>
      </c>
      <c r="C170" s="17">
        <v>2679</v>
      </c>
      <c r="D170" s="18">
        <v>98000</v>
      </c>
      <c r="E170" s="18"/>
      <c r="F170" s="18">
        <v>63680</v>
      </c>
      <c r="G170" s="18">
        <v>0</v>
      </c>
      <c r="H170" s="17">
        <f>50000+4000+953-15650-200-1520-16174.1-600</f>
        <v>20808.900000000001</v>
      </c>
      <c r="I170" s="17">
        <v>100000</v>
      </c>
      <c r="J170" s="17">
        <v>80000</v>
      </c>
    </row>
    <row r="171" spans="1:10" ht="12.75" customHeight="1">
      <c r="A171" s="29" t="s">
        <v>58</v>
      </c>
      <c r="B171" s="30">
        <v>20000</v>
      </c>
      <c r="C171" s="31">
        <v>20000</v>
      </c>
      <c r="D171" s="32">
        <v>70000</v>
      </c>
      <c r="E171" s="32">
        <v>15697.8</v>
      </c>
      <c r="F171" s="32">
        <v>61868</v>
      </c>
      <c r="G171" s="32">
        <v>13226.4</v>
      </c>
      <c r="H171" s="31">
        <f>70000-2077.4+100</f>
        <v>68022.600000000006</v>
      </c>
      <c r="I171" s="31">
        <f>65000-12518.5+4000</f>
        <v>56481.5</v>
      </c>
      <c r="J171" s="31">
        <f>65000-12518.5+4000+2381.3-413.7+500-2500</f>
        <v>56449.100000000006</v>
      </c>
    </row>
    <row r="172" spans="1:10" ht="18.75" customHeight="1">
      <c r="A172" s="7" t="s">
        <v>131</v>
      </c>
      <c r="B172" s="8">
        <f t="shared" ref="B172:J172" si="70">B173</f>
        <v>25230</v>
      </c>
      <c r="C172" s="9">
        <f t="shared" si="70"/>
        <v>25230</v>
      </c>
      <c r="D172" s="9">
        <f t="shared" si="70"/>
        <v>33500</v>
      </c>
      <c r="E172" s="9">
        <f t="shared" si="70"/>
        <v>42349.100000000006</v>
      </c>
      <c r="F172" s="9">
        <f t="shared" si="70"/>
        <v>23500</v>
      </c>
      <c r="G172" s="9">
        <f t="shared" si="70"/>
        <v>48913.9</v>
      </c>
      <c r="H172" s="9">
        <f t="shared" si="70"/>
        <v>29644.37</v>
      </c>
      <c r="I172" s="9">
        <f t="shared" si="70"/>
        <v>29644.399999999998</v>
      </c>
      <c r="J172" s="9">
        <f t="shared" si="70"/>
        <v>29644.399999999998</v>
      </c>
    </row>
    <row r="173" spans="1:10" ht="12.75" customHeight="1">
      <c r="A173" s="24" t="s">
        <v>22</v>
      </c>
      <c r="B173" s="25">
        <f>SUM(B175:B177)</f>
        <v>25230</v>
      </c>
      <c r="C173" s="26">
        <f>SUM(C175:C177)</f>
        <v>25230</v>
      </c>
      <c r="D173" s="26">
        <f t="shared" ref="D173:J173" si="71">SUM(D175:D180)</f>
        <v>33500</v>
      </c>
      <c r="E173" s="26">
        <f t="shared" si="71"/>
        <v>42349.100000000006</v>
      </c>
      <c r="F173" s="26">
        <f t="shared" si="71"/>
        <v>23500</v>
      </c>
      <c r="G173" s="26">
        <f t="shared" si="71"/>
        <v>48913.9</v>
      </c>
      <c r="H173" s="26">
        <f t="shared" si="71"/>
        <v>29644.37</v>
      </c>
      <c r="I173" s="26">
        <f t="shared" si="71"/>
        <v>29644.399999999998</v>
      </c>
      <c r="J173" s="26">
        <f t="shared" si="71"/>
        <v>29644.399999999998</v>
      </c>
    </row>
    <row r="174" spans="1:10" ht="12.75" customHeight="1">
      <c r="A174" s="15" t="s">
        <v>59</v>
      </c>
      <c r="B174" s="48"/>
      <c r="C174" s="17"/>
      <c r="D174" s="18"/>
      <c r="E174" s="18"/>
      <c r="F174" s="18"/>
      <c r="G174" s="18"/>
      <c r="H174" s="17"/>
      <c r="I174" s="17"/>
      <c r="J174" s="17"/>
    </row>
    <row r="175" spans="1:10" ht="12.75" customHeight="1">
      <c r="A175" s="15" t="s">
        <v>60</v>
      </c>
      <c r="B175" s="48">
        <v>9000</v>
      </c>
      <c r="C175" s="49">
        <v>9000</v>
      </c>
      <c r="D175" s="50">
        <v>7500</v>
      </c>
      <c r="E175" s="50">
        <f>4966.6+2531.4</f>
        <v>7498</v>
      </c>
      <c r="F175" s="50">
        <v>5000</v>
      </c>
      <c r="G175" s="50">
        <f>4913.4+2333</f>
        <v>7246.4</v>
      </c>
      <c r="H175" s="49">
        <f t="shared" ref="H175:H180" si="72">E175*0.7</f>
        <v>5248.5999999999995</v>
      </c>
      <c r="I175" s="49">
        <v>5248.6</v>
      </c>
      <c r="J175" s="49">
        <v>5248.6</v>
      </c>
    </row>
    <row r="176" spans="1:10" ht="12.75" customHeight="1">
      <c r="A176" s="15" t="s">
        <v>61</v>
      </c>
      <c r="B176" s="48">
        <v>13530</v>
      </c>
      <c r="C176" s="49">
        <v>13530</v>
      </c>
      <c r="D176" s="50">
        <v>6500</v>
      </c>
      <c r="E176" s="50">
        <v>6423.1</v>
      </c>
      <c r="F176" s="50">
        <v>5000</v>
      </c>
      <c r="G176" s="50">
        <v>8428.1</v>
      </c>
      <c r="H176" s="49">
        <f t="shared" si="72"/>
        <v>4496.17</v>
      </c>
      <c r="I176" s="49">
        <v>4496.2</v>
      </c>
      <c r="J176" s="49">
        <v>4496.2</v>
      </c>
    </row>
    <row r="177" spans="1:10" ht="12.75" customHeight="1">
      <c r="A177" s="15" t="s">
        <v>62</v>
      </c>
      <c r="B177" s="48">
        <v>2700</v>
      </c>
      <c r="C177" s="49">
        <v>2700</v>
      </c>
      <c r="D177" s="50">
        <v>2000</v>
      </c>
      <c r="E177" s="50">
        <v>3720</v>
      </c>
      <c r="F177" s="50">
        <v>1000</v>
      </c>
      <c r="G177" s="50">
        <f>2625+175</f>
        <v>2800</v>
      </c>
      <c r="H177" s="49">
        <f t="shared" si="72"/>
        <v>2604</v>
      </c>
      <c r="I177" s="49">
        <v>2604</v>
      </c>
      <c r="J177" s="49">
        <v>2604</v>
      </c>
    </row>
    <row r="178" spans="1:10" ht="12.75" customHeight="1">
      <c r="A178" s="15" t="s">
        <v>63</v>
      </c>
      <c r="B178" s="48">
        <v>4510</v>
      </c>
      <c r="C178" s="49">
        <v>4510</v>
      </c>
      <c r="D178" s="50">
        <v>2000</v>
      </c>
      <c r="E178" s="50">
        <v>1994.2</v>
      </c>
      <c r="F178" s="50">
        <v>2000</v>
      </c>
      <c r="G178" s="50">
        <v>2496.8000000000002</v>
      </c>
      <c r="H178" s="49">
        <f t="shared" si="72"/>
        <v>1395.94</v>
      </c>
      <c r="I178" s="49">
        <v>1395.9</v>
      </c>
      <c r="J178" s="49">
        <v>1395.9</v>
      </c>
    </row>
    <row r="179" spans="1:10" ht="12.75" customHeight="1">
      <c r="A179" s="15" t="s">
        <v>64</v>
      </c>
      <c r="B179" s="48">
        <v>10280</v>
      </c>
      <c r="C179" s="49">
        <v>10280</v>
      </c>
      <c r="D179" s="50">
        <v>5000</v>
      </c>
      <c r="E179" s="50">
        <v>13400</v>
      </c>
      <c r="F179" s="50">
        <v>5000</v>
      </c>
      <c r="G179" s="50">
        <v>14754.6</v>
      </c>
      <c r="H179" s="49">
        <f t="shared" si="72"/>
        <v>9380</v>
      </c>
      <c r="I179" s="49">
        <v>9380</v>
      </c>
      <c r="J179" s="49">
        <v>9380</v>
      </c>
    </row>
    <row r="180" spans="1:10" ht="12.75" customHeight="1">
      <c r="A180" s="29" t="s">
        <v>65</v>
      </c>
      <c r="B180" s="51">
        <v>15140</v>
      </c>
      <c r="C180" s="91">
        <v>15140</v>
      </c>
      <c r="D180" s="92">
        <v>10500</v>
      </c>
      <c r="E180" s="92">
        <f>7050.2+2263.6</f>
        <v>9313.7999999999993</v>
      </c>
      <c r="F180" s="92">
        <v>5500</v>
      </c>
      <c r="G180" s="92">
        <f>7194.2+5993.8</f>
        <v>13188</v>
      </c>
      <c r="H180" s="91">
        <f t="shared" si="72"/>
        <v>6519.6599999999989</v>
      </c>
      <c r="I180" s="91">
        <v>6519.7</v>
      </c>
      <c r="J180" s="91">
        <v>6519.7</v>
      </c>
    </row>
    <row r="181" spans="1:10" ht="18" customHeight="1">
      <c r="A181" s="7" t="s">
        <v>120</v>
      </c>
      <c r="B181" s="8">
        <f t="shared" ref="B181:J181" si="73">B182</f>
        <v>239734</v>
      </c>
      <c r="C181" s="9" t="e">
        <f t="shared" si="73"/>
        <v>#REF!</v>
      </c>
      <c r="D181" s="9">
        <f t="shared" si="73"/>
        <v>0</v>
      </c>
      <c r="E181" s="9">
        <f t="shared" si="73"/>
        <v>1481.2</v>
      </c>
      <c r="F181" s="9">
        <f t="shared" si="73"/>
        <v>2000</v>
      </c>
      <c r="G181" s="9">
        <f t="shared" si="73"/>
        <v>10.8</v>
      </c>
      <c r="H181" s="9">
        <f t="shared" si="73"/>
        <v>2000</v>
      </c>
      <c r="I181" s="9">
        <f t="shared" si="73"/>
        <v>2000</v>
      </c>
      <c r="J181" s="9">
        <f t="shared" si="73"/>
        <v>3000</v>
      </c>
    </row>
    <row r="182" spans="1:10" ht="12.75" customHeight="1">
      <c r="A182" s="24" t="s">
        <v>22</v>
      </c>
      <c r="B182" s="25">
        <f>SUM(B184:B185)</f>
        <v>239734</v>
      </c>
      <c r="C182" s="26" t="e">
        <f>SUM(C184:C185)</f>
        <v>#REF!</v>
      </c>
      <c r="D182" s="26">
        <f>D184</f>
        <v>0</v>
      </c>
      <c r="E182" s="26">
        <f t="shared" ref="E182:I182" si="74">E184</f>
        <v>1481.2</v>
      </c>
      <c r="F182" s="26">
        <f t="shared" si="74"/>
        <v>2000</v>
      </c>
      <c r="G182" s="26">
        <f t="shared" si="74"/>
        <v>10.8</v>
      </c>
      <c r="H182" s="26">
        <f t="shared" si="74"/>
        <v>2000</v>
      </c>
      <c r="I182" s="26">
        <f t="shared" si="74"/>
        <v>2000</v>
      </c>
      <c r="J182" s="26">
        <f t="shared" ref="J182" si="75">J184</f>
        <v>3000</v>
      </c>
    </row>
    <row r="183" spans="1:10" ht="12.75" customHeight="1">
      <c r="A183" s="11" t="s">
        <v>16</v>
      </c>
      <c r="B183" s="12"/>
      <c r="C183" s="27"/>
      <c r="D183" s="28"/>
      <c r="E183" s="28"/>
      <c r="F183" s="28"/>
      <c r="G183" s="28"/>
      <c r="H183" s="26"/>
      <c r="I183" s="17"/>
      <c r="J183" s="17"/>
    </row>
    <row r="184" spans="1:10" ht="12.75" customHeight="1">
      <c r="A184" s="29" t="s">
        <v>25</v>
      </c>
      <c r="B184" s="30">
        <v>39734</v>
      </c>
      <c r="C184" s="31">
        <v>2679</v>
      </c>
      <c r="D184" s="32"/>
      <c r="E184" s="32">
        <v>1481.2</v>
      </c>
      <c r="F184" s="32">
        <v>2000</v>
      </c>
      <c r="G184" s="32">
        <v>10.8</v>
      </c>
      <c r="H184" s="31">
        <v>2000</v>
      </c>
      <c r="I184" s="31">
        <v>2000</v>
      </c>
      <c r="J184" s="31">
        <v>3000</v>
      </c>
    </row>
    <row r="185" spans="1:10" ht="20.100000000000001" customHeight="1">
      <c r="A185" s="7" t="s">
        <v>134</v>
      </c>
      <c r="B185" s="43">
        <v>200000</v>
      </c>
      <c r="C185" s="44" t="e">
        <f>#REF!+C186+C189</f>
        <v>#REF!</v>
      </c>
      <c r="D185" s="9">
        <f>D186+D189</f>
        <v>235898</v>
      </c>
      <c r="E185" s="9">
        <f t="shared" ref="E185:I185" si="76">E186+E189</f>
        <v>162179.20000000001</v>
      </c>
      <c r="F185" s="9">
        <f t="shared" si="76"/>
        <v>253060.19999999995</v>
      </c>
      <c r="G185" s="9">
        <f t="shared" si="76"/>
        <v>243602.5</v>
      </c>
      <c r="H185" s="9">
        <f t="shared" si="76"/>
        <v>198541.3</v>
      </c>
      <c r="I185" s="9">
        <f t="shared" si="76"/>
        <v>178541.3</v>
      </c>
      <c r="J185" s="9">
        <f t="shared" ref="J185" si="77">J186+J189</f>
        <v>165370.29999999999</v>
      </c>
    </row>
    <row r="186" spans="1:10" ht="14.1" customHeight="1">
      <c r="A186" s="45" t="s">
        <v>132</v>
      </c>
      <c r="B186" s="46">
        <v>45000</v>
      </c>
      <c r="C186" s="47">
        <f>C187+C188</f>
        <v>45000</v>
      </c>
      <c r="D186" s="47">
        <f t="shared" ref="D186:I186" si="78">D187+D188</f>
        <v>25000</v>
      </c>
      <c r="E186" s="47">
        <f t="shared" si="78"/>
        <v>47379.899999999994</v>
      </c>
      <c r="F186" s="47">
        <f t="shared" si="78"/>
        <v>35000</v>
      </c>
      <c r="G186" s="47">
        <f t="shared" si="78"/>
        <v>49649</v>
      </c>
      <c r="H186" s="47">
        <f t="shared" si="78"/>
        <v>35000</v>
      </c>
      <c r="I186" s="47">
        <f t="shared" si="78"/>
        <v>15000</v>
      </c>
      <c r="J186" s="47">
        <f t="shared" ref="J186" si="79">J187+J188</f>
        <v>15000</v>
      </c>
    </row>
    <row r="187" spans="1:10" ht="14.1" customHeight="1">
      <c r="A187" s="15" t="s">
        <v>66</v>
      </c>
      <c r="B187" s="48">
        <v>25000</v>
      </c>
      <c r="C187" s="17">
        <v>25000</v>
      </c>
      <c r="D187" s="18">
        <v>13000</v>
      </c>
      <c r="E187" s="18">
        <v>29039.1</v>
      </c>
      <c r="F187" s="18">
        <v>18000</v>
      </c>
      <c r="G187" s="18">
        <v>32696.1</v>
      </c>
      <c r="H187" s="49">
        <v>18000</v>
      </c>
      <c r="I187" s="17">
        <v>8000</v>
      </c>
      <c r="J187" s="17">
        <v>8000</v>
      </c>
    </row>
    <row r="188" spans="1:10" ht="14.1" customHeight="1">
      <c r="A188" s="15" t="s">
        <v>67</v>
      </c>
      <c r="B188" s="48">
        <v>20000</v>
      </c>
      <c r="C188" s="17">
        <v>20000</v>
      </c>
      <c r="D188" s="18">
        <v>12000</v>
      </c>
      <c r="E188" s="18">
        <v>18340.8</v>
      </c>
      <c r="F188" s="18">
        <v>17000</v>
      </c>
      <c r="G188" s="18">
        <v>16952.900000000001</v>
      </c>
      <c r="H188" s="49">
        <v>17000</v>
      </c>
      <c r="I188" s="17">
        <v>7000</v>
      </c>
      <c r="J188" s="17">
        <v>7000</v>
      </c>
    </row>
    <row r="189" spans="1:10" ht="14.1" customHeight="1">
      <c r="A189" s="45" t="s">
        <v>133</v>
      </c>
      <c r="B189" s="46">
        <v>71000</v>
      </c>
      <c r="C189" s="47">
        <f t="shared" ref="C189:J189" si="80">C190+C195</f>
        <v>96000</v>
      </c>
      <c r="D189" s="47">
        <f t="shared" si="80"/>
        <v>210898</v>
      </c>
      <c r="E189" s="47">
        <f t="shared" si="80"/>
        <v>114799.3</v>
      </c>
      <c r="F189" s="47">
        <f t="shared" si="80"/>
        <v>218060.19999999995</v>
      </c>
      <c r="G189" s="47">
        <f t="shared" si="80"/>
        <v>193953.5</v>
      </c>
      <c r="H189" s="47">
        <f t="shared" si="80"/>
        <v>163541.29999999999</v>
      </c>
      <c r="I189" s="47">
        <f t="shared" si="80"/>
        <v>163541.29999999999</v>
      </c>
      <c r="J189" s="47">
        <f t="shared" si="80"/>
        <v>150370.29999999999</v>
      </c>
    </row>
    <row r="190" spans="1:10" ht="14.1" customHeight="1">
      <c r="A190" s="15" t="s">
        <v>68</v>
      </c>
      <c r="B190" s="48">
        <v>45000</v>
      </c>
      <c r="C190" s="17">
        <v>36000</v>
      </c>
      <c r="D190" s="18">
        <f t="shared" ref="D190:J190" si="81">SUM(D191:D194)</f>
        <v>79730.399999999994</v>
      </c>
      <c r="E190" s="18">
        <f t="shared" si="81"/>
        <v>34681.300000000003</v>
      </c>
      <c r="F190" s="18">
        <f t="shared" si="81"/>
        <v>25653.9</v>
      </c>
      <c r="G190" s="18">
        <f t="shared" si="81"/>
        <v>21150.799999999999</v>
      </c>
      <c r="H190" s="17">
        <f t="shared" si="81"/>
        <v>18775</v>
      </c>
      <c r="I190" s="17">
        <f t="shared" si="81"/>
        <v>35900</v>
      </c>
      <c r="J190" s="17">
        <f t="shared" si="81"/>
        <v>33050</v>
      </c>
    </row>
    <row r="191" spans="1:10" ht="14.1" customHeight="1">
      <c r="A191" s="15" t="s">
        <v>69</v>
      </c>
      <c r="B191" s="48"/>
      <c r="C191" s="17"/>
      <c r="D191" s="18">
        <v>79730.399999999994</v>
      </c>
      <c r="E191" s="18">
        <v>31420.9</v>
      </c>
      <c r="F191" s="18">
        <v>22530.7</v>
      </c>
      <c r="G191" s="18">
        <v>18665.599999999999</v>
      </c>
      <c r="H191" s="17">
        <v>17150</v>
      </c>
      <c r="I191" s="17">
        <v>35900</v>
      </c>
      <c r="J191" s="17">
        <f>35900-2000-1000</f>
        <v>32900</v>
      </c>
    </row>
    <row r="192" spans="1:10" ht="14.1" customHeight="1">
      <c r="A192" s="15" t="s">
        <v>135</v>
      </c>
      <c r="B192" s="48"/>
      <c r="C192" s="17"/>
      <c r="D192" s="18"/>
      <c r="E192" s="18">
        <v>560.70000000000005</v>
      </c>
      <c r="F192" s="18">
        <v>3023.2</v>
      </c>
      <c r="G192" s="18">
        <v>2069.8000000000002</v>
      </c>
      <c r="H192" s="17">
        <v>195</v>
      </c>
      <c r="I192" s="17"/>
      <c r="J192" s="17">
        <v>150</v>
      </c>
    </row>
    <row r="193" spans="1:10" ht="14.1" customHeight="1">
      <c r="A193" s="15" t="s">
        <v>114</v>
      </c>
      <c r="B193" s="48"/>
      <c r="C193" s="17"/>
      <c r="D193" s="18"/>
      <c r="E193" s="18">
        <v>1901.6</v>
      </c>
      <c r="F193" s="18">
        <v>100</v>
      </c>
      <c r="G193" s="18">
        <v>112.7</v>
      </c>
      <c r="H193" s="17">
        <v>140</v>
      </c>
      <c r="I193" s="17"/>
      <c r="J193" s="17"/>
    </row>
    <row r="194" spans="1:10" ht="14.1" customHeight="1">
      <c r="A194" s="15" t="s">
        <v>107</v>
      </c>
      <c r="B194" s="48"/>
      <c r="C194" s="17"/>
      <c r="D194" s="18"/>
      <c r="E194" s="18">
        <v>798.1</v>
      </c>
      <c r="F194" s="18"/>
      <c r="G194" s="18">
        <v>302.7</v>
      </c>
      <c r="H194" s="17">
        <v>1290</v>
      </c>
      <c r="I194" s="17"/>
      <c r="J194" s="17"/>
    </row>
    <row r="195" spans="1:10" ht="14.1" customHeight="1">
      <c r="A195" s="15" t="s">
        <v>67</v>
      </c>
      <c r="B195" s="48">
        <v>26000</v>
      </c>
      <c r="C195" s="17">
        <v>60000</v>
      </c>
      <c r="D195" s="18">
        <f>SUM(D196:D201)</f>
        <v>131167.6</v>
      </c>
      <c r="E195" s="18">
        <f>SUM(E196:E201)</f>
        <v>80118</v>
      </c>
      <c r="F195" s="18">
        <f>SUM(F196:F201)</f>
        <v>192406.29999999996</v>
      </c>
      <c r="G195" s="18">
        <f>SUM(G196:G201)</f>
        <v>172802.7</v>
      </c>
      <c r="H195" s="17">
        <f>SUM(H196:H201)</f>
        <v>144766.29999999999</v>
      </c>
      <c r="I195" s="17">
        <v>127641.3</v>
      </c>
      <c r="J195" s="17">
        <f>SUM(J196:J201)</f>
        <v>117320.3</v>
      </c>
    </row>
    <row r="196" spans="1:10" ht="14.1" customHeight="1">
      <c r="A196" s="15" t="s">
        <v>69</v>
      </c>
      <c r="B196" s="48"/>
      <c r="C196" s="17"/>
      <c r="D196" s="18">
        <v>131167.6</v>
      </c>
      <c r="E196" s="18">
        <v>580.1</v>
      </c>
      <c r="F196" s="18">
        <v>169592.8</v>
      </c>
      <c r="G196" s="18">
        <v>8333.6</v>
      </c>
      <c r="H196" s="17">
        <v>65286.3</v>
      </c>
      <c r="I196" s="17"/>
      <c r="J196" s="17">
        <v>36846.300000000003</v>
      </c>
    </row>
    <row r="197" spans="1:10" ht="14.1" customHeight="1">
      <c r="A197" s="15" t="s">
        <v>113</v>
      </c>
      <c r="B197" s="48"/>
      <c r="C197" s="17"/>
      <c r="D197" s="18"/>
      <c r="E197" s="18">
        <v>1198</v>
      </c>
      <c r="F197" s="18"/>
      <c r="G197" s="18">
        <v>475.2</v>
      </c>
      <c r="H197" s="17">
        <v>600</v>
      </c>
      <c r="I197" s="17"/>
      <c r="J197" s="17"/>
    </row>
    <row r="198" spans="1:10" ht="14.1" customHeight="1">
      <c r="A198" s="15" t="s">
        <v>106</v>
      </c>
      <c r="B198" s="48"/>
      <c r="C198" s="17"/>
      <c r="D198" s="18"/>
      <c r="E198" s="18"/>
      <c r="F198" s="18">
        <v>4199.8999999999996</v>
      </c>
      <c r="G198" s="18">
        <v>3325.5</v>
      </c>
      <c r="H198" s="17">
        <v>30</v>
      </c>
      <c r="I198" s="17"/>
      <c r="J198" s="17"/>
    </row>
    <row r="199" spans="1:10" ht="14.1" customHeight="1">
      <c r="A199" s="15" t="s">
        <v>70</v>
      </c>
      <c r="B199" s="48"/>
      <c r="C199" s="17"/>
      <c r="D199" s="18"/>
      <c r="E199" s="18">
        <v>31584.1</v>
      </c>
      <c r="F199" s="18">
        <v>104.3</v>
      </c>
      <c r="G199" s="18">
        <v>41416.5</v>
      </c>
      <c r="H199" s="17">
        <v>67500</v>
      </c>
      <c r="I199" s="17"/>
      <c r="J199" s="17">
        <v>58450</v>
      </c>
    </row>
    <row r="200" spans="1:10" ht="14.1" customHeight="1">
      <c r="A200" s="15" t="s">
        <v>115</v>
      </c>
      <c r="B200" s="48"/>
      <c r="C200" s="17"/>
      <c r="D200" s="18"/>
      <c r="E200" s="18"/>
      <c r="F200" s="18"/>
      <c r="G200" s="18">
        <v>4175.3</v>
      </c>
      <c r="H200" s="17"/>
      <c r="I200" s="17"/>
      <c r="J200" s="17">
        <v>1834</v>
      </c>
    </row>
    <row r="201" spans="1:10" ht="14.1" customHeight="1">
      <c r="A201" s="29" t="s">
        <v>71</v>
      </c>
      <c r="B201" s="51"/>
      <c r="C201" s="31"/>
      <c r="D201" s="32"/>
      <c r="E201" s="32">
        <v>46755.8</v>
      </c>
      <c r="F201" s="32">
        <v>18509.3</v>
      </c>
      <c r="G201" s="32">
        <v>115076.6</v>
      </c>
      <c r="H201" s="31">
        <v>11350</v>
      </c>
      <c r="I201" s="31"/>
      <c r="J201" s="31">
        <v>20190</v>
      </c>
    </row>
    <row r="202" spans="1:10" ht="20.100000000000001" customHeight="1">
      <c r="A202" s="7" t="s">
        <v>136</v>
      </c>
      <c r="B202" s="8" t="e">
        <f>B204+B205</f>
        <v>#REF!</v>
      </c>
      <c r="C202" s="9">
        <f>C204+C205</f>
        <v>514692</v>
      </c>
      <c r="D202" s="9">
        <f t="shared" ref="D202:I202" si="82">D204+D205</f>
        <v>213220.7</v>
      </c>
      <c r="E202" s="9">
        <f t="shared" si="82"/>
        <v>292271.19999999995</v>
      </c>
      <c r="F202" s="9">
        <f t="shared" si="82"/>
        <v>228908.1</v>
      </c>
      <c r="G202" s="9">
        <f t="shared" si="82"/>
        <v>321675.00000000006</v>
      </c>
      <c r="H202" s="9">
        <f>H207+H210+H215+H221+H225+H231+H239+H244+H250+H213</f>
        <v>162000</v>
      </c>
      <c r="I202" s="9">
        <f t="shared" si="82"/>
        <v>157000</v>
      </c>
      <c r="J202" s="9">
        <f>J207+J210+J215+J221+J225+J231+J239+J244+J250+J213</f>
        <v>161000</v>
      </c>
    </row>
    <row r="203" spans="1:10" ht="11.1" customHeight="1">
      <c r="A203" s="15" t="s">
        <v>16</v>
      </c>
      <c r="B203" s="12"/>
      <c r="C203" s="13"/>
      <c r="D203" s="13"/>
      <c r="E203" s="13"/>
      <c r="F203" s="13"/>
      <c r="G203" s="13"/>
      <c r="H203" s="13"/>
      <c r="I203" s="13"/>
      <c r="J203" s="13"/>
    </row>
    <row r="204" spans="1:10" ht="12.75" customHeight="1">
      <c r="A204" s="22" t="s">
        <v>22</v>
      </c>
      <c r="B204" s="12">
        <f>B221+B241+B246</f>
        <v>9350</v>
      </c>
      <c r="C204" s="13">
        <f>C221+C241+C246+C237</f>
        <v>17020</v>
      </c>
      <c r="D204" s="13">
        <f>D222+D227+D234+D237+D241+D246+D255+D236+D248</f>
        <v>19525</v>
      </c>
      <c r="E204" s="13">
        <f>E222+E227+E234+E237+E241+E246+E255+E236+E248</f>
        <v>33694.300000000003</v>
      </c>
      <c r="F204" s="13">
        <f>F222+F227+F234+F237+F241+F246+F255+F236+F248</f>
        <v>13747.2</v>
      </c>
      <c r="G204" s="13">
        <f>G222+G227+G234+G237+G241+G246+G255+G236+G248+G229</f>
        <v>54218.100000000013</v>
      </c>
      <c r="H204" s="13">
        <f>H222+H227+H234+H237+H241+H246+H255+H236+H248+H250</f>
        <v>15417</v>
      </c>
      <c r="I204" s="13">
        <f>I222+I227+I234+I237+I241+I246+I255+I236+I248+I250</f>
        <v>4000</v>
      </c>
      <c r="J204" s="13">
        <f>J222+J227+J234+J237+J241+J246+J255+J236+J248+J251+J229+J252</f>
        <v>20450</v>
      </c>
    </row>
    <row r="205" spans="1:10" ht="12.75" customHeight="1">
      <c r="A205" s="22" t="s">
        <v>27</v>
      </c>
      <c r="B205" s="12" t="e">
        <f>B207+B210+B215+B219+B221+B225+B231+B239+B244-B204</f>
        <v>#REF!</v>
      </c>
      <c r="C205" s="13">
        <f>C207+C210+C215+C219+C221+C225+C231+C239+C244-C204</f>
        <v>497672</v>
      </c>
      <c r="D205" s="13">
        <f>D208+D209+D211+D212+D216+D217+D218+D220+D223+D224+D226+D228+D230+D232+D233+D238+D240+D242+D243+D245+D247+D249+D250+D235</f>
        <v>193695.7</v>
      </c>
      <c r="E205" s="13">
        <f>E208+E209+E211+E212+E216+E217+E218+E220+E223+E224+E226+E228+E230+E232+E233+E238+E240+E242+E243+E245+E247+E249+E250+E235</f>
        <v>258576.89999999997</v>
      </c>
      <c r="F205" s="13">
        <f>F208+F209+F211+F212+F216+F217+F218+F220+F223+F224+F226+F228+F230+F232+F233+F238+F240+F242+F243+F245+F247+F249+F250+F235</f>
        <v>215160.9</v>
      </c>
      <c r="G205" s="13">
        <f>G208+G209+G211+G212+G216+G217+G218+G220+G223+G224+G226+G228+G230+G232+G233+G238+G240+G242+G243+G245+G247+G249+G250+G235</f>
        <v>267456.90000000002</v>
      </c>
      <c r="H205" s="13">
        <f>H208+H209+H211+H212+H216+H217+H218+H220+H223+H224+H226+H228+H230+H232+H233+H238+H240+H242+H243+H245+H247+H249+H235+H214</f>
        <v>146583</v>
      </c>
      <c r="I205" s="13">
        <f>I207+I210+I215+I219+I221+I225+I231+I239+I244-I204+I250</f>
        <v>153000</v>
      </c>
      <c r="J205" s="13">
        <f>J207+J210+J215+J219+J221+J225+J231+J239+J244-J204+J250</f>
        <v>140550</v>
      </c>
    </row>
    <row r="206" spans="1:10" ht="12.75" customHeight="1">
      <c r="A206" s="11" t="s">
        <v>72</v>
      </c>
      <c r="B206" s="12"/>
      <c r="C206" s="17"/>
      <c r="D206" s="18"/>
      <c r="E206" s="18"/>
      <c r="F206" s="18"/>
      <c r="G206" s="18"/>
      <c r="H206" s="17"/>
      <c r="I206" s="17"/>
      <c r="J206" s="17"/>
    </row>
    <row r="207" spans="1:10" ht="12.75" customHeight="1">
      <c r="A207" s="45" t="s">
        <v>73</v>
      </c>
      <c r="B207" s="52">
        <v>2187</v>
      </c>
      <c r="C207" s="47">
        <f>C208+C209</f>
        <v>2000</v>
      </c>
      <c r="D207" s="47">
        <f t="shared" ref="D207:H207" si="83">D208+D209</f>
        <v>0</v>
      </c>
      <c r="E207" s="47">
        <f t="shared" si="83"/>
        <v>0</v>
      </c>
      <c r="F207" s="47">
        <f t="shared" si="83"/>
        <v>0</v>
      </c>
      <c r="G207" s="47">
        <f t="shared" si="83"/>
        <v>485.6</v>
      </c>
      <c r="H207" s="47">
        <f t="shared" si="83"/>
        <v>0</v>
      </c>
      <c r="I207" s="47">
        <v>1000</v>
      </c>
      <c r="J207" s="47">
        <v>1000</v>
      </c>
    </row>
    <row r="208" spans="1:10" ht="12.75" customHeight="1">
      <c r="A208" s="15" t="s">
        <v>74</v>
      </c>
      <c r="B208" s="16">
        <v>2150</v>
      </c>
      <c r="C208" s="17">
        <v>2000</v>
      </c>
      <c r="D208" s="18"/>
      <c r="E208" s="18"/>
      <c r="F208" s="18"/>
      <c r="G208" s="18">
        <v>485.6</v>
      </c>
      <c r="H208" s="17"/>
      <c r="I208" s="17"/>
      <c r="J208" s="17"/>
    </row>
    <row r="209" spans="1:10" ht="12.75" customHeight="1">
      <c r="A209" s="15" t="s">
        <v>75</v>
      </c>
      <c r="B209" s="16">
        <v>37</v>
      </c>
      <c r="C209" s="17">
        <v>0</v>
      </c>
      <c r="D209" s="18"/>
      <c r="E209" s="18"/>
      <c r="F209" s="18"/>
      <c r="G209" s="18"/>
      <c r="H209" s="17"/>
      <c r="I209" s="17"/>
      <c r="J209" s="17">
        <v>1000</v>
      </c>
    </row>
    <row r="210" spans="1:10" ht="12.75" customHeight="1">
      <c r="A210" s="45" t="s">
        <v>76</v>
      </c>
      <c r="B210" s="52" t="e">
        <f>B211+#REF!</f>
        <v>#REF!</v>
      </c>
      <c r="C210" s="47">
        <f>SUM(C211:C212)</f>
        <v>18642</v>
      </c>
      <c r="D210" s="47">
        <f t="shared" ref="D210:H210" si="84">D211+D212</f>
        <v>3000</v>
      </c>
      <c r="E210" s="47">
        <f t="shared" si="84"/>
        <v>2226.5</v>
      </c>
      <c r="F210" s="47">
        <f t="shared" si="84"/>
        <v>2000</v>
      </c>
      <c r="G210" s="47">
        <f t="shared" si="84"/>
        <v>1600.6</v>
      </c>
      <c r="H210" s="47">
        <f t="shared" si="84"/>
        <v>2000</v>
      </c>
      <c r="I210" s="47">
        <v>2000</v>
      </c>
      <c r="J210" s="47">
        <v>2260</v>
      </c>
    </row>
    <row r="211" spans="1:10" ht="12.75" customHeight="1">
      <c r="A211" s="15" t="s">
        <v>74</v>
      </c>
      <c r="B211" s="16">
        <v>10000</v>
      </c>
      <c r="C211" s="17">
        <v>10445</v>
      </c>
      <c r="D211" s="18">
        <v>3000</v>
      </c>
      <c r="E211" s="18">
        <v>2226.5</v>
      </c>
      <c r="F211" s="18">
        <v>510</v>
      </c>
      <c r="G211" s="18">
        <v>1600.6</v>
      </c>
      <c r="H211" s="17">
        <v>1700</v>
      </c>
      <c r="I211" s="17"/>
      <c r="J211" s="17">
        <v>2260</v>
      </c>
    </row>
    <row r="212" spans="1:10" ht="12.75" customHeight="1">
      <c r="A212" s="15" t="s">
        <v>75</v>
      </c>
      <c r="B212" s="16"/>
      <c r="C212" s="17">
        <v>8197</v>
      </c>
      <c r="D212" s="18"/>
      <c r="E212" s="18"/>
      <c r="F212" s="18">
        <v>1490</v>
      </c>
      <c r="G212" s="18"/>
      <c r="H212" s="17">
        <v>300</v>
      </c>
      <c r="I212" s="17"/>
      <c r="J212" s="17"/>
    </row>
    <row r="213" spans="1:10" ht="12.75" customHeight="1">
      <c r="A213" s="45" t="s">
        <v>126</v>
      </c>
      <c r="B213" s="16"/>
      <c r="C213" s="17"/>
      <c r="D213" s="18"/>
      <c r="E213" s="18"/>
      <c r="F213" s="18"/>
      <c r="G213" s="18"/>
      <c r="H213" s="47">
        <v>4000</v>
      </c>
      <c r="I213" s="17"/>
      <c r="J213" s="17"/>
    </row>
    <row r="214" spans="1:10" ht="12.75" customHeight="1">
      <c r="A214" s="15" t="s">
        <v>127</v>
      </c>
      <c r="B214" s="16"/>
      <c r="C214" s="17"/>
      <c r="D214" s="18"/>
      <c r="E214" s="18"/>
      <c r="F214" s="18"/>
      <c r="G214" s="18"/>
      <c r="H214" s="17">
        <v>4000</v>
      </c>
      <c r="I214" s="17"/>
      <c r="J214" s="17"/>
    </row>
    <row r="215" spans="1:10" ht="12.75" customHeight="1">
      <c r="A215" s="45" t="s">
        <v>77</v>
      </c>
      <c r="B215" s="52">
        <v>100000</v>
      </c>
      <c r="C215" s="47">
        <f>C216+C217</f>
        <v>120000</v>
      </c>
      <c r="D215" s="47">
        <f>D216+D217+D218</f>
        <v>17939.899999999998</v>
      </c>
      <c r="E215" s="47">
        <f t="shared" ref="E215:H215" si="85">E216+E217+E218</f>
        <v>51132.5</v>
      </c>
      <c r="F215" s="47">
        <f t="shared" si="85"/>
        <v>63000</v>
      </c>
      <c r="G215" s="47">
        <f t="shared" si="85"/>
        <v>48889.1</v>
      </c>
      <c r="H215" s="47">
        <f t="shared" si="85"/>
        <v>40000</v>
      </c>
      <c r="I215" s="47">
        <v>40000</v>
      </c>
      <c r="J215" s="47">
        <v>40000</v>
      </c>
    </row>
    <row r="216" spans="1:10" ht="12.75" customHeight="1">
      <c r="A216" s="15" t="s">
        <v>78</v>
      </c>
      <c r="B216" s="16">
        <v>100000</v>
      </c>
      <c r="C216" s="17">
        <v>87900</v>
      </c>
      <c r="D216" s="18">
        <v>2210.6</v>
      </c>
      <c r="E216" s="18">
        <v>20169.7</v>
      </c>
      <c r="F216" s="18"/>
      <c r="G216" s="18">
        <v>15234.9</v>
      </c>
      <c r="H216" s="17">
        <v>15000</v>
      </c>
      <c r="I216" s="17"/>
      <c r="J216" s="17"/>
    </row>
    <row r="217" spans="1:10" ht="12.75" customHeight="1">
      <c r="A217" s="15" t="s">
        <v>79</v>
      </c>
      <c r="B217" s="16">
        <v>0</v>
      </c>
      <c r="C217" s="17">
        <v>32100</v>
      </c>
      <c r="D217" s="18">
        <v>15729.3</v>
      </c>
      <c r="E217" s="18">
        <v>30962.799999999999</v>
      </c>
      <c r="F217" s="18">
        <v>53000</v>
      </c>
      <c r="G217" s="18">
        <v>33654.199999999997</v>
      </c>
      <c r="H217" s="17">
        <v>20000</v>
      </c>
      <c r="I217" s="17"/>
      <c r="J217" s="17"/>
    </row>
    <row r="218" spans="1:10" ht="12.75" customHeight="1">
      <c r="A218" s="15" t="s">
        <v>75</v>
      </c>
      <c r="B218" s="16"/>
      <c r="C218" s="17"/>
      <c r="D218" s="18"/>
      <c r="E218" s="18"/>
      <c r="F218" s="18">
        <v>10000</v>
      </c>
      <c r="G218" s="18"/>
      <c r="H218" s="17">
        <v>5000</v>
      </c>
      <c r="I218" s="17"/>
      <c r="J218" s="17"/>
    </row>
    <row r="219" spans="1:10" ht="12.75" hidden="1" customHeight="1">
      <c r="A219" s="45" t="s">
        <v>80</v>
      </c>
      <c r="B219" s="52">
        <v>300</v>
      </c>
      <c r="C219" s="47">
        <f>C220</f>
        <v>300</v>
      </c>
      <c r="D219" s="47">
        <f t="shared" ref="D219:J219" si="86">D220</f>
        <v>0</v>
      </c>
      <c r="E219" s="47">
        <f t="shared" si="86"/>
        <v>0</v>
      </c>
      <c r="F219" s="47">
        <f t="shared" si="86"/>
        <v>0</v>
      </c>
      <c r="G219" s="47">
        <f t="shared" si="86"/>
        <v>0</v>
      </c>
      <c r="H219" s="47">
        <f t="shared" si="86"/>
        <v>0</v>
      </c>
      <c r="I219" s="47">
        <f t="shared" si="86"/>
        <v>0</v>
      </c>
      <c r="J219" s="47">
        <f t="shared" si="86"/>
        <v>0</v>
      </c>
    </row>
    <row r="220" spans="1:10" ht="12.75" hidden="1" customHeight="1">
      <c r="A220" s="15" t="s">
        <v>74</v>
      </c>
      <c r="B220" s="16">
        <v>300</v>
      </c>
      <c r="C220" s="17">
        <v>300</v>
      </c>
      <c r="D220" s="18"/>
      <c r="E220" s="18">
        <v>0</v>
      </c>
      <c r="F220" s="18"/>
      <c r="G220" s="18"/>
      <c r="H220" s="17"/>
      <c r="I220" s="17"/>
      <c r="J220" s="17"/>
    </row>
    <row r="221" spans="1:10" ht="12.75" customHeight="1">
      <c r="A221" s="45" t="s">
        <v>81</v>
      </c>
      <c r="B221" s="52">
        <v>0</v>
      </c>
      <c r="C221" s="47">
        <f>C222</f>
        <v>750</v>
      </c>
      <c r="D221" s="47">
        <f>D222+D223+D224</f>
        <v>1618</v>
      </c>
      <c r="E221" s="47">
        <f t="shared" ref="E221:G221" si="87">E222+E223+E224</f>
        <v>579.70000000000005</v>
      </c>
      <c r="F221" s="47">
        <f t="shared" si="87"/>
        <v>4557.2</v>
      </c>
      <c r="G221" s="47">
        <f t="shared" si="87"/>
        <v>2536.8000000000002</v>
      </c>
      <c r="H221" s="47">
        <v>1000</v>
      </c>
      <c r="I221" s="47">
        <v>1000</v>
      </c>
      <c r="J221" s="47">
        <v>1000</v>
      </c>
    </row>
    <row r="222" spans="1:10" ht="12.75" customHeight="1">
      <c r="A222" s="15" t="s">
        <v>82</v>
      </c>
      <c r="B222" s="16">
        <v>0</v>
      </c>
      <c r="C222" s="17">
        <v>750</v>
      </c>
      <c r="D222" s="18">
        <v>1618</v>
      </c>
      <c r="E222" s="18">
        <v>579.70000000000005</v>
      </c>
      <c r="F222" s="18">
        <v>3497.2</v>
      </c>
      <c r="G222" s="18">
        <v>1604.3</v>
      </c>
      <c r="H222" s="17"/>
      <c r="I222" s="17"/>
      <c r="J222" s="17">
        <v>1000</v>
      </c>
    </row>
    <row r="223" spans="1:10" ht="12.75" hidden="1" customHeight="1">
      <c r="A223" s="15" t="s">
        <v>79</v>
      </c>
      <c r="B223" s="16"/>
      <c r="C223" s="17"/>
      <c r="D223" s="18"/>
      <c r="E223" s="18"/>
      <c r="F223" s="18">
        <v>560</v>
      </c>
      <c r="G223" s="18">
        <v>932.5</v>
      </c>
      <c r="H223" s="17"/>
      <c r="I223" s="17"/>
      <c r="J223" s="17"/>
    </row>
    <row r="224" spans="1:10" ht="12.75" customHeight="1">
      <c r="A224" s="15" t="s">
        <v>75</v>
      </c>
      <c r="B224" s="16"/>
      <c r="C224" s="17"/>
      <c r="D224" s="18"/>
      <c r="E224" s="18"/>
      <c r="F224" s="18">
        <v>500</v>
      </c>
      <c r="G224" s="18"/>
      <c r="H224" s="17">
        <v>1000</v>
      </c>
      <c r="I224" s="17"/>
      <c r="J224" s="17"/>
    </row>
    <row r="225" spans="1:10" ht="12.75" customHeight="1">
      <c r="A225" s="45" t="s">
        <v>83</v>
      </c>
      <c r="B225" s="52">
        <v>48000</v>
      </c>
      <c r="C225" s="47">
        <f>SUM(C226:C230)</f>
        <v>48000</v>
      </c>
      <c r="D225" s="47">
        <f t="shared" ref="D225:F225" si="88">D226+D227+D228+D230</f>
        <v>50950</v>
      </c>
      <c r="E225" s="47">
        <f t="shared" si="88"/>
        <v>86591</v>
      </c>
      <c r="F225" s="47">
        <f t="shared" si="88"/>
        <v>38200</v>
      </c>
      <c r="G225" s="47">
        <f>SUM(G226:G230)</f>
        <v>112534.09999999999</v>
      </c>
      <c r="H225" s="47">
        <f t="shared" ref="H225" si="89">SUM(H226:H230)</f>
        <v>30000</v>
      </c>
      <c r="I225" s="47">
        <v>30000</v>
      </c>
      <c r="J225" s="47">
        <f t="shared" ref="J225" si="90">SUM(J226:J230)</f>
        <v>30000</v>
      </c>
    </row>
    <row r="226" spans="1:10" ht="12.75" customHeight="1">
      <c r="A226" s="15" t="s">
        <v>84</v>
      </c>
      <c r="B226" s="16">
        <v>48000</v>
      </c>
      <c r="C226" s="17">
        <v>42500</v>
      </c>
      <c r="D226" s="18">
        <v>39600</v>
      </c>
      <c r="E226" s="18">
        <v>67335.7</v>
      </c>
      <c r="F226" s="18">
        <v>28900</v>
      </c>
      <c r="G226" s="18">
        <v>74481.7</v>
      </c>
      <c r="H226" s="17">
        <v>19100</v>
      </c>
      <c r="I226" s="17"/>
      <c r="J226" s="17">
        <v>13500</v>
      </c>
    </row>
    <row r="227" spans="1:10" ht="12.75" customHeight="1">
      <c r="A227" s="15" t="s">
        <v>91</v>
      </c>
      <c r="B227" s="16"/>
      <c r="C227" s="17"/>
      <c r="D227" s="18">
        <v>10600</v>
      </c>
      <c r="E227" s="18">
        <v>18505.3</v>
      </c>
      <c r="F227" s="18">
        <v>9050</v>
      </c>
      <c r="G227" s="18">
        <v>33932.5</v>
      </c>
      <c r="H227" s="17">
        <v>6900</v>
      </c>
      <c r="I227" s="17"/>
      <c r="J227" s="17">
        <v>10000</v>
      </c>
    </row>
    <row r="228" spans="1:10" ht="12.75" customHeight="1">
      <c r="A228" s="15" t="s">
        <v>85</v>
      </c>
      <c r="B228" s="16">
        <v>0</v>
      </c>
      <c r="C228" s="17">
        <v>500</v>
      </c>
      <c r="D228" s="18">
        <v>750</v>
      </c>
      <c r="E228" s="18">
        <v>750</v>
      </c>
      <c r="F228" s="18"/>
      <c r="G228" s="18"/>
      <c r="H228" s="17"/>
      <c r="I228" s="17"/>
      <c r="J228" s="17">
        <v>3500</v>
      </c>
    </row>
    <row r="229" spans="1:10" ht="12.75" hidden="1" customHeight="1">
      <c r="A229" s="15" t="s">
        <v>88</v>
      </c>
      <c r="B229" s="16"/>
      <c r="C229" s="17"/>
      <c r="D229" s="18"/>
      <c r="E229" s="18"/>
      <c r="F229" s="18"/>
      <c r="G229" s="18">
        <v>4119.8999999999996</v>
      </c>
      <c r="H229" s="17"/>
      <c r="I229" s="17"/>
      <c r="J229" s="17"/>
    </row>
    <row r="230" spans="1:10" ht="12.75" customHeight="1">
      <c r="A230" s="15" t="s">
        <v>75</v>
      </c>
      <c r="B230" s="16">
        <v>0</v>
      </c>
      <c r="C230" s="17">
        <v>5000</v>
      </c>
      <c r="D230" s="18"/>
      <c r="E230" s="18"/>
      <c r="F230" s="18">
        <v>250</v>
      </c>
      <c r="G230" s="18"/>
      <c r="H230" s="17">
        <v>4000</v>
      </c>
      <c r="I230" s="17"/>
      <c r="J230" s="17">
        <v>3000</v>
      </c>
    </row>
    <row r="231" spans="1:10" ht="12.75" customHeight="1">
      <c r="A231" s="45" t="s">
        <v>86</v>
      </c>
      <c r="B231" s="52">
        <f>SUM(B232:B238)</f>
        <v>150000</v>
      </c>
      <c r="C231" s="47">
        <f>SUM(C232:C238)</f>
        <v>200000</v>
      </c>
      <c r="D231" s="47">
        <f t="shared" ref="D231:H231" si="91">D232+D233+D234+D235+D236+D237+D238</f>
        <v>65681.8</v>
      </c>
      <c r="E231" s="47">
        <f t="shared" si="91"/>
        <v>81335.600000000006</v>
      </c>
      <c r="F231" s="47">
        <f t="shared" si="91"/>
        <v>79780</v>
      </c>
      <c r="G231" s="47">
        <f t="shared" si="91"/>
        <v>77721.499999999985</v>
      </c>
      <c r="H231" s="47">
        <f t="shared" si="91"/>
        <v>70000</v>
      </c>
      <c r="I231" s="47">
        <v>65000</v>
      </c>
      <c r="J231" s="47">
        <f t="shared" ref="J231" si="92">J232+J233+J234+J235+J236+J237+J238</f>
        <v>65000</v>
      </c>
    </row>
    <row r="232" spans="1:10" ht="12.75" customHeight="1">
      <c r="A232" s="15" t="s">
        <v>74</v>
      </c>
      <c r="B232" s="16">
        <v>120000</v>
      </c>
      <c r="C232" s="17">
        <v>189690</v>
      </c>
      <c r="D232" s="18">
        <v>7074</v>
      </c>
      <c r="E232" s="18">
        <v>25508.6</v>
      </c>
      <c r="F232" s="18">
        <v>53416</v>
      </c>
      <c r="G232" s="18">
        <v>40192.5</v>
      </c>
      <c r="H232" s="17">
        <v>55700</v>
      </c>
      <c r="I232" s="17"/>
      <c r="J232" s="17">
        <v>5700</v>
      </c>
    </row>
    <row r="233" spans="1:10" ht="12.75" customHeight="1">
      <c r="A233" s="15" t="s">
        <v>87</v>
      </c>
      <c r="B233" s="16">
        <v>30000</v>
      </c>
      <c r="C233" s="17">
        <v>0</v>
      </c>
      <c r="D233" s="18">
        <v>54215</v>
      </c>
      <c r="E233" s="18">
        <v>47106.9</v>
      </c>
      <c r="F233" s="18">
        <v>10855</v>
      </c>
      <c r="G233" s="18">
        <v>24671.200000000001</v>
      </c>
      <c r="H233" s="17">
        <v>500</v>
      </c>
      <c r="I233" s="17"/>
      <c r="J233" s="17">
        <v>36600</v>
      </c>
    </row>
    <row r="234" spans="1:10" ht="12.75" hidden="1" customHeight="1">
      <c r="A234" s="15" t="s">
        <v>108</v>
      </c>
      <c r="B234" s="16"/>
      <c r="C234" s="17"/>
      <c r="D234" s="18"/>
      <c r="E234" s="18"/>
      <c r="F234" s="18"/>
      <c r="G234" s="18"/>
      <c r="H234" s="17"/>
      <c r="I234" s="17"/>
      <c r="J234" s="17"/>
    </row>
    <row r="235" spans="1:10" ht="12.75" customHeight="1">
      <c r="A235" s="15" t="s">
        <v>110</v>
      </c>
      <c r="B235" s="16"/>
      <c r="C235" s="17"/>
      <c r="D235" s="18">
        <v>2481</v>
      </c>
      <c r="E235" s="18">
        <v>5363.5</v>
      </c>
      <c r="F235" s="18">
        <v>6009</v>
      </c>
      <c r="G235" s="18">
        <v>7757.4</v>
      </c>
      <c r="H235" s="17">
        <v>283</v>
      </c>
      <c r="I235" s="17"/>
      <c r="J235" s="17">
        <v>8250</v>
      </c>
    </row>
    <row r="236" spans="1:10" ht="12.75" customHeight="1">
      <c r="A236" s="29" t="s">
        <v>91</v>
      </c>
      <c r="B236" s="30"/>
      <c r="C236" s="31"/>
      <c r="D236" s="32"/>
      <c r="E236" s="32"/>
      <c r="F236" s="32"/>
      <c r="G236" s="32">
        <v>184.5</v>
      </c>
      <c r="H236" s="31">
        <v>4517</v>
      </c>
      <c r="I236" s="31"/>
      <c r="J236" s="31"/>
    </row>
    <row r="237" spans="1:10" ht="12.75" customHeight="1">
      <c r="A237" s="15" t="s">
        <v>88</v>
      </c>
      <c r="B237" s="16">
        <v>0</v>
      </c>
      <c r="C237" s="17">
        <v>9640</v>
      </c>
      <c r="D237" s="18"/>
      <c r="E237" s="18">
        <v>3356.6</v>
      </c>
      <c r="F237" s="18"/>
      <c r="G237" s="18">
        <v>4915.8999999999996</v>
      </c>
      <c r="H237" s="17"/>
      <c r="I237" s="17"/>
      <c r="J237" s="17">
        <v>7450</v>
      </c>
    </row>
    <row r="238" spans="1:10" ht="12.75" customHeight="1">
      <c r="A238" s="15" t="s">
        <v>75</v>
      </c>
      <c r="B238" s="16">
        <v>0</v>
      </c>
      <c r="C238" s="17">
        <v>670</v>
      </c>
      <c r="D238" s="18">
        <v>1911.8</v>
      </c>
      <c r="E238" s="18"/>
      <c r="F238" s="18">
        <v>9500</v>
      </c>
      <c r="G238" s="18"/>
      <c r="H238" s="17">
        <v>9000</v>
      </c>
      <c r="I238" s="17"/>
      <c r="J238" s="17">
        <v>7000</v>
      </c>
    </row>
    <row r="239" spans="1:10" ht="12.75" customHeight="1">
      <c r="A239" s="45" t="s">
        <v>89</v>
      </c>
      <c r="B239" s="52">
        <v>10000</v>
      </c>
      <c r="C239" s="47">
        <f>SUM(C240:C243)</f>
        <v>10000</v>
      </c>
      <c r="D239" s="47">
        <f t="shared" ref="D239:H239" si="93">D240+D241+D242+D243</f>
        <v>5000</v>
      </c>
      <c r="E239" s="47">
        <f t="shared" si="93"/>
        <v>1751.1</v>
      </c>
      <c r="F239" s="47">
        <f t="shared" si="93"/>
        <v>3500</v>
      </c>
      <c r="G239" s="47">
        <f t="shared" si="93"/>
        <v>4764.0999999999995</v>
      </c>
      <c r="H239" s="47">
        <f t="shared" si="93"/>
        <v>0</v>
      </c>
      <c r="I239" s="47">
        <v>2000</v>
      </c>
      <c r="J239" s="47">
        <f t="shared" ref="J239" si="94">J240+J241+J242+J243</f>
        <v>2000</v>
      </c>
    </row>
    <row r="240" spans="1:10" ht="12.75" customHeight="1">
      <c r="A240" s="15" t="s">
        <v>90</v>
      </c>
      <c r="B240" s="16">
        <v>10000</v>
      </c>
      <c r="C240" s="17">
        <v>9380</v>
      </c>
      <c r="D240" s="18">
        <v>5000</v>
      </c>
      <c r="E240" s="18">
        <v>1042.3</v>
      </c>
      <c r="F240" s="18">
        <v>2400</v>
      </c>
      <c r="G240" s="18">
        <v>3124.1</v>
      </c>
      <c r="H240" s="17"/>
      <c r="I240" s="17"/>
      <c r="J240" s="17">
        <v>800</v>
      </c>
    </row>
    <row r="241" spans="1:10" ht="12.75" hidden="1" customHeight="1">
      <c r="A241" s="15" t="s">
        <v>91</v>
      </c>
      <c r="B241" s="16">
        <v>0</v>
      </c>
      <c r="C241" s="17">
        <v>330</v>
      </c>
      <c r="D241" s="18"/>
      <c r="E241" s="18">
        <v>38</v>
      </c>
      <c r="F241" s="18"/>
      <c r="G241" s="18">
        <v>1559.3</v>
      </c>
      <c r="H241" s="17"/>
      <c r="I241" s="17"/>
      <c r="J241" s="17"/>
    </row>
    <row r="242" spans="1:10" ht="12.75" customHeight="1">
      <c r="A242" s="15" t="s">
        <v>92</v>
      </c>
      <c r="B242" s="16"/>
      <c r="C242" s="17"/>
      <c r="D242" s="18"/>
      <c r="E242" s="18">
        <v>670.8</v>
      </c>
      <c r="F242" s="18">
        <v>600</v>
      </c>
      <c r="G242" s="18">
        <v>80.7</v>
      </c>
      <c r="H242" s="17"/>
      <c r="I242" s="17"/>
      <c r="J242" s="17">
        <v>550</v>
      </c>
    </row>
    <row r="243" spans="1:10" ht="12.75" customHeight="1">
      <c r="A243" s="15" t="s">
        <v>75</v>
      </c>
      <c r="B243" s="16">
        <v>0</v>
      </c>
      <c r="C243" s="17">
        <v>290</v>
      </c>
      <c r="D243" s="18"/>
      <c r="E243" s="18"/>
      <c r="F243" s="18">
        <v>500</v>
      </c>
      <c r="G243" s="18"/>
      <c r="H243" s="17"/>
      <c r="I243" s="17"/>
      <c r="J243" s="17">
        <v>650</v>
      </c>
    </row>
    <row r="244" spans="1:10" ht="12.75" customHeight="1">
      <c r="A244" s="45" t="s">
        <v>93</v>
      </c>
      <c r="B244" s="52">
        <f>SUM(B245:B249)</f>
        <v>98000</v>
      </c>
      <c r="C244" s="47">
        <f>SUM(C245:C249)</f>
        <v>115000</v>
      </c>
      <c r="D244" s="47">
        <f t="shared" ref="D244:H244" si="95">D245+D246+D247+D248+D249</f>
        <v>69031</v>
      </c>
      <c r="E244" s="47">
        <f t="shared" si="95"/>
        <v>68649.8</v>
      </c>
      <c r="F244" s="47">
        <f t="shared" si="95"/>
        <v>35979.800000000003</v>
      </c>
      <c r="G244" s="47">
        <f t="shared" si="95"/>
        <v>73137.799999999988</v>
      </c>
      <c r="H244" s="47">
        <f t="shared" si="95"/>
        <v>11000</v>
      </c>
      <c r="I244" s="47">
        <v>12000</v>
      </c>
      <c r="J244" s="47">
        <f t="shared" ref="J244" si="96">J245+J246+J247+J248+J249</f>
        <v>12000</v>
      </c>
    </row>
    <row r="245" spans="1:10" ht="12.75" customHeight="1">
      <c r="A245" s="15" t="s">
        <v>84</v>
      </c>
      <c r="B245" s="16">
        <v>84510</v>
      </c>
      <c r="C245" s="17">
        <v>107270</v>
      </c>
      <c r="D245" s="18">
        <v>53599</v>
      </c>
      <c r="E245" s="18">
        <v>38335.5</v>
      </c>
      <c r="F245" s="18">
        <v>7700</v>
      </c>
      <c r="G245" s="18">
        <v>20907.8</v>
      </c>
      <c r="H245" s="17">
        <v>3000</v>
      </c>
      <c r="I245" s="17"/>
      <c r="J245" s="17"/>
    </row>
    <row r="246" spans="1:10" ht="12.75" hidden="1" customHeight="1">
      <c r="A246" s="15" t="s">
        <v>91</v>
      </c>
      <c r="B246" s="16">
        <v>9350</v>
      </c>
      <c r="C246" s="17">
        <v>6300</v>
      </c>
      <c r="D246" s="18">
        <v>993</v>
      </c>
      <c r="E246" s="18">
        <v>10211.4</v>
      </c>
      <c r="F246" s="18">
        <v>1100</v>
      </c>
      <c r="G246" s="18">
        <v>3747.4</v>
      </c>
      <c r="H246" s="17"/>
      <c r="I246" s="17"/>
      <c r="J246" s="17"/>
    </row>
    <row r="247" spans="1:10" ht="12.75" customHeight="1">
      <c r="A247" s="15" t="s">
        <v>92</v>
      </c>
      <c r="B247" s="16"/>
      <c r="C247" s="17"/>
      <c r="D247" s="18">
        <v>8125</v>
      </c>
      <c r="E247" s="18">
        <v>19104.599999999999</v>
      </c>
      <c r="F247" s="18">
        <v>27079.8</v>
      </c>
      <c r="G247" s="18">
        <v>44333.7</v>
      </c>
      <c r="H247" s="17">
        <v>6300</v>
      </c>
      <c r="I247" s="17"/>
      <c r="J247" s="17">
        <v>10800</v>
      </c>
    </row>
    <row r="248" spans="1:10" ht="12.75" hidden="1" customHeight="1">
      <c r="A248" s="15" t="s">
        <v>88</v>
      </c>
      <c r="B248" s="16"/>
      <c r="C248" s="17"/>
      <c r="D248" s="18">
        <v>6314</v>
      </c>
      <c r="E248" s="18">
        <v>998.3</v>
      </c>
      <c r="F248" s="18">
        <v>100</v>
      </c>
      <c r="G248" s="18">
        <v>4148.8999999999996</v>
      </c>
      <c r="H248" s="17"/>
      <c r="I248" s="17"/>
      <c r="J248" s="17"/>
    </row>
    <row r="249" spans="1:10" ht="12.75" customHeight="1">
      <c r="A249" s="15" t="s">
        <v>75</v>
      </c>
      <c r="B249" s="16">
        <v>4140</v>
      </c>
      <c r="C249" s="34">
        <v>1430</v>
      </c>
      <c r="D249" s="35"/>
      <c r="E249" s="35"/>
      <c r="F249" s="35"/>
      <c r="G249" s="35"/>
      <c r="H249" s="34">
        <v>1700</v>
      </c>
      <c r="I249" s="34"/>
      <c r="J249" s="34">
        <v>1200</v>
      </c>
    </row>
    <row r="250" spans="1:10" ht="12.75" customHeight="1">
      <c r="A250" s="45" t="s">
        <v>121</v>
      </c>
      <c r="B250" s="16"/>
      <c r="C250" s="34"/>
      <c r="D250" s="35"/>
      <c r="E250" s="35"/>
      <c r="F250" s="35">
        <v>1891.1</v>
      </c>
      <c r="G250" s="35"/>
      <c r="H250" s="47">
        <v>4000</v>
      </c>
      <c r="I250" s="47">
        <v>4000</v>
      </c>
      <c r="J250" s="47">
        <f>SUM(J251:J254)</f>
        <v>7740</v>
      </c>
    </row>
    <row r="251" spans="1:10" ht="12.75" customHeight="1">
      <c r="A251" s="93" t="s">
        <v>145</v>
      </c>
      <c r="B251" s="16"/>
      <c r="C251" s="34"/>
      <c r="D251" s="35"/>
      <c r="E251" s="35"/>
      <c r="F251" s="35"/>
      <c r="G251" s="35"/>
      <c r="H251" s="47"/>
      <c r="I251" s="47"/>
      <c r="J251" s="94"/>
    </row>
    <row r="252" spans="1:10" ht="12.75" customHeight="1">
      <c r="A252" s="93" t="s">
        <v>143</v>
      </c>
      <c r="B252" s="16"/>
      <c r="C252" s="34"/>
      <c r="D252" s="35"/>
      <c r="E252" s="35"/>
      <c r="F252" s="35"/>
      <c r="G252" s="35"/>
      <c r="H252" s="47"/>
      <c r="I252" s="47"/>
      <c r="J252" s="94">
        <v>2000</v>
      </c>
    </row>
    <row r="253" spans="1:10" ht="12.75" customHeight="1">
      <c r="A253" s="93" t="s">
        <v>144</v>
      </c>
      <c r="B253" s="16"/>
      <c r="C253" s="34"/>
      <c r="D253" s="35"/>
      <c r="E253" s="35"/>
      <c r="F253" s="35"/>
      <c r="G253" s="35"/>
      <c r="H253" s="47"/>
      <c r="I253" s="47"/>
      <c r="J253" s="94">
        <v>2000</v>
      </c>
    </row>
    <row r="254" spans="1:10" ht="12.75" customHeight="1" thickBot="1">
      <c r="A254" s="93" t="s">
        <v>146</v>
      </c>
      <c r="B254" s="16"/>
      <c r="C254" s="34"/>
      <c r="D254" s="35"/>
      <c r="E254" s="35"/>
      <c r="F254" s="35"/>
      <c r="G254" s="35"/>
      <c r="H254" s="47"/>
      <c r="I254" s="47"/>
      <c r="J254" s="94">
        <v>3740</v>
      </c>
    </row>
    <row r="255" spans="1:10" ht="12.75" hidden="1" customHeight="1" thickBot="1">
      <c r="A255" s="85" t="s">
        <v>109</v>
      </c>
      <c r="B255" s="86"/>
      <c r="C255" s="53"/>
      <c r="D255" s="87"/>
      <c r="E255" s="87">
        <v>5</v>
      </c>
      <c r="F255" s="87"/>
      <c r="G255" s="87">
        <v>5.4</v>
      </c>
      <c r="H255" s="53"/>
      <c r="I255" s="34"/>
      <c r="J255" s="34"/>
    </row>
    <row r="256" spans="1:10" ht="12.75" customHeight="1">
      <c r="A256" s="54" t="s">
        <v>94</v>
      </c>
      <c r="B256" s="55" t="e">
        <f>B32+B45+B57+B65+B72+B85+B92+B101+B112+B122+B133+#REF!+B143+B153+B161+B168+#REF!+B187+B190+B204</f>
        <v>#REF!</v>
      </c>
      <c r="C256" s="56" t="e">
        <f>C32+C45+C57+C65+C72+C85+C92+C101+C112+C122+C133+C143+C153+C161+C168+#REF!+C187+C190+C204</f>
        <v>#REF!</v>
      </c>
      <c r="D256" s="56" t="e">
        <f t="shared" ref="D256:J256" si="97">D32+D45+D57+D65+D72+D85+D92+D101+D112+D122+D133+D143+D153+D161+D168+D173+D187+D190+D204+D182</f>
        <v>#REF!</v>
      </c>
      <c r="E256" s="56" t="e">
        <f t="shared" si="97"/>
        <v>#REF!</v>
      </c>
      <c r="F256" s="56" t="e">
        <f t="shared" si="97"/>
        <v>#REF!</v>
      </c>
      <c r="G256" s="56" t="e">
        <f t="shared" si="97"/>
        <v>#REF!</v>
      </c>
      <c r="H256" s="56">
        <f t="shared" si="97"/>
        <v>2807477.27</v>
      </c>
      <c r="I256" s="56" t="e">
        <f t="shared" si="97"/>
        <v>#REF!</v>
      </c>
      <c r="J256" s="56">
        <f t="shared" si="97"/>
        <v>2841293.8000000003</v>
      </c>
    </row>
    <row r="257" spans="1:10" ht="12.75" customHeight="1" thickBot="1">
      <c r="A257" s="57" t="s">
        <v>95</v>
      </c>
      <c r="B257" s="58" t="e">
        <f>B61+B164+B97+B116+B127+B157+B106+B188+B195+B205</f>
        <v>#REF!</v>
      </c>
      <c r="C257" s="59" t="e">
        <f>C61+C164+C97+C116+C127+C157+C106+C188+C195+C205+C40</f>
        <v>#REF!</v>
      </c>
      <c r="D257" s="59" t="e">
        <f>D61+D164+D97+D116+D127+D157+D106+D188+D195+D205+D40+D80+D53+D88+D138+D148</f>
        <v>#REF!</v>
      </c>
      <c r="E257" s="59" t="e">
        <f>E61+E164+E97+E116+E127+E157+E106+E188+E195+E205+E40+E80+E53+E88+E138+E148</f>
        <v>#REF!</v>
      </c>
      <c r="F257" s="59" t="e">
        <f>F61+F164+F97+F116+F127+F157+F106+F188+F195+F205+F40+F80+F53+F88+F138+F148</f>
        <v>#REF!</v>
      </c>
      <c r="G257" s="59" t="e">
        <f>G61+G164+G97+G116+G127+G157+G106+G188+G195+G205+G40+G80+G53+G88+G138+G148+G68</f>
        <v>#REF!</v>
      </c>
      <c r="H257" s="59">
        <f>H61+H164+H97+H116+H127+H157+H106+H188+H195+H205+H40+H80+H53+H88+H138+H148</f>
        <v>387523.39999999997</v>
      </c>
      <c r="I257" s="59" t="e">
        <f>I61+I164+I97+I116+I127+I157+I106+I188+I195+I205+I40+I80+I53+I88+I138+I148</f>
        <v>#REF!</v>
      </c>
      <c r="J257" s="59">
        <f>J61+J164+J97+J116+J127+J157+J106+J188+J195+J205+J40+J80+J53+J88+J138+J148</f>
        <v>630600.69999999995</v>
      </c>
    </row>
    <row r="258" spans="1:10" ht="21.95" customHeight="1" thickBot="1">
      <c r="A258" s="19" t="s">
        <v>96</v>
      </c>
      <c r="B258" s="20" t="e">
        <f>B31+B44+B56+B71+B84+B111+B121+B132+#REF!+B142+B160+B167+B202+B100+B91+B152+B64+B185</f>
        <v>#REF!</v>
      </c>
      <c r="C258" s="21" t="e">
        <f>C31+C44+C56+C71+C84+C111+C121+C132+C142+C160+C167+C202+C100+C91+C152+C64+C185</f>
        <v>#REF!</v>
      </c>
      <c r="D258" s="21" t="e">
        <f t="shared" ref="D258:J258" si="98">D31+D44+D56+D71+D84+D111+D121+D132+D142+D160+D167+D202+D100+D91+D152+D64+D185+D181+D172</f>
        <v>#REF!</v>
      </c>
      <c r="E258" s="21" t="e">
        <f t="shared" si="98"/>
        <v>#REF!</v>
      </c>
      <c r="F258" s="21" t="e">
        <f t="shared" si="98"/>
        <v>#REF!</v>
      </c>
      <c r="G258" s="21" t="e">
        <f t="shared" si="98"/>
        <v>#REF!</v>
      </c>
      <c r="H258" s="21">
        <f t="shared" si="98"/>
        <v>3195000.67</v>
      </c>
      <c r="I258" s="21" t="e">
        <f t="shared" si="98"/>
        <v>#REF!</v>
      </c>
      <c r="J258" s="21">
        <f t="shared" si="98"/>
        <v>3471894.5</v>
      </c>
    </row>
    <row r="259" spans="1:10" ht="20.100000000000001" customHeight="1" thickTop="1">
      <c r="A259" s="60" t="s">
        <v>97</v>
      </c>
      <c r="B259" s="61" t="e">
        <f>B258-B29</f>
        <v>#REF!</v>
      </c>
      <c r="C259" s="62" t="e">
        <f>C258-C29</f>
        <v>#REF!</v>
      </c>
      <c r="D259" s="62">
        <f t="shared" ref="D259:J259" si="99">SUM(D261:D262)</f>
        <v>225035</v>
      </c>
      <c r="E259" s="62">
        <f t="shared" si="99"/>
        <v>39861.700000000012</v>
      </c>
      <c r="F259" s="62">
        <f t="shared" si="99"/>
        <v>-13812.899999999994</v>
      </c>
      <c r="G259" s="62">
        <f t="shared" si="99"/>
        <v>72611.600000000006</v>
      </c>
      <c r="H259" s="62">
        <f t="shared" si="99"/>
        <v>-100000</v>
      </c>
      <c r="I259" s="62">
        <f t="shared" si="99"/>
        <v>137500</v>
      </c>
      <c r="J259" s="62">
        <f t="shared" si="99"/>
        <v>137500</v>
      </c>
    </row>
    <row r="260" spans="1:10" ht="9.9499999999999993" customHeight="1">
      <c r="A260" s="63" t="s">
        <v>16</v>
      </c>
      <c r="B260" s="64"/>
      <c r="C260" s="65"/>
      <c r="D260" s="65"/>
      <c r="E260" s="65"/>
      <c r="F260" s="65"/>
      <c r="G260" s="65"/>
      <c r="H260" s="65"/>
      <c r="I260" s="65"/>
      <c r="J260" s="65"/>
    </row>
    <row r="261" spans="1:10" ht="12.75" customHeight="1">
      <c r="A261" s="63" t="s">
        <v>98</v>
      </c>
      <c r="B261" s="64"/>
      <c r="C261" s="65"/>
      <c r="D261" s="77">
        <v>-100000</v>
      </c>
      <c r="E261" s="77">
        <v>-100000</v>
      </c>
      <c r="F261" s="77">
        <v>-100000</v>
      </c>
      <c r="G261" s="77">
        <v>-100000</v>
      </c>
      <c r="H261" s="77">
        <v>-100000</v>
      </c>
      <c r="I261" s="77">
        <v>-162500</v>
      </c>
      <c r="J261" s="77">
        <v>-162500</v>
      </c>
    </row>
    <row r="262" spans="1:10" ht="12.95" customHeight="1" thickBot="1">
      <c r="A262" s="66" t="s">
        <v>99</v>
      </c>
      <c r="B262" s="67">
        <v>556305.6</v>
      </c>
      <c r="C262" s="53">
        <v>188606.7</v>
      </c>
      <c r="D262" s="53">
        <v>325035</v>
      </c>
      <c r="E262" s="53">
        <v>139861.70000000001</v>
      </c>
      <c r="F262" s="53">
        <v>86187.1</v>
      </c>
      <c r="G262" s="53">
        <v>172611.6</v>
      </c>
      <c r="H262" s="53"/>
      <c r="I262" s="53">
        <v>300000</v>
      </c>
      <c r="J262" s="53">
        <v>300000</v>
      </c>
    </row>
    <row r="263" spans="1:10" ht="12.75" customHeight="1">
      <c r="A263" s="70"/>
      <c r="B263" s="68"/>
      <c r="C263" s="71"/>
      <c r="D263" s="71"/>
      <c r="E263" s="71"/>
      <c r="F263" s="71"/>
      <c r="G263" s="71"/>
      <c r="H263" s="69"/>
    </row>
    <row r="264" spans="1:10" ht="12.75" customHeight="1">
      <c r="A264" s="70"/>
      <c r="B264" s="68"/>
      <c r="C264" s="71"/>
      <c r="D264" s="71"/>
      <c r="E264" s="71"/>
      <c r="F264" s="82"/>
      <c r="G264" s="82"/>
      <c r="H264" s="69"/>
    </row>
    <row r="265" spans="1:10" ht="12.75" customHeight="1">
      <c r="B265" s="68"/>
      <c r="C265" s="71"/>
      <c r="D265" s="71"/>
      <c r="E265" s="71"/>
      <c r="F265" s="82"/>
      <c r="G265" s="82"/>
      <c r="H265" s="84"/>
    </row>
    <row r="266" spans="1:10" ht="12.75" customHeight="1">
      <c r="B266" s="68"/>
      <c r="C266" s="71"/>
      <c r="D266" s="71"/>
      <c r="E266" s="71"/>
      <c r="F266" s="82"/>
      <c r="G266" s="82"/>
      <c r="H266" s="84"/>
    </row>
    <row r="267" spans="1:10" ht="12.75" customHeight="1">
      <c r="B267" s="68"/>
      <c r="C267" s="71"/>
      <c r="D267" s="71"/>
      <c r="E267" s="71"/>
      <c r="F267" s="71"/>
      <c r="G267" s="71"/>
    </row>
    <row r="268" spans="1:10" ht="12.75" customHeight="1">
      <c r="B268" s="68"/>
      <c r="C268" s="71"/>
      <c r="D268" s="72"/>
      <c r="E268" s="72"/>
      <c r="F268" s="73"/>
      <c r="G268" s="73"/>
    </row>
    <row r="269" spans="1:10" ht="12.75" customHeight="1">
      <c r="B269" s="68"/>
      <c r="C269" s="71"/>
      <c r="D269" s="71"/>
      <c r="E269" s="71"/>
      <c r="F269" s="73"/>
      <c r="G269" s="73"/>
    </row>
    <row r="270" spans="1:10" ht="12.75" customHeight="1">
      <c r="B270" s="68"/>
      <c r="C270" s="71"/>
      <c r="D270" s="71"/>
      <c r="E270" s="71"/>
      <c r="F270" s="71"/>
      <c r="G270" s="71"/>
    </row>
    <row r="271" spans="1:10" ht="12.75" customHeight="1">
      <c r="A271" s="74"/>
      <c r="B271" s="68"/>
      <c r="C271" s="71"/>
      <c r="D271" s="71"/>
      <c r="E271" s="71"/>
      <c r="F271" s="71"/>
      <c r="G271" s="71"/>
    </row>
    <row r="272" spans="1:10" ht="12.75" customHeight="1">
      <c r="B272" s="68"/>
      <c r="C272" s="71"/>
      <c r="D272" s="71"/>
      <c r="E272" s="71"/>
      <c r="F272" s="71"/>
      <c r="G272" s="71"/>
    </row>
    <row r="273" spans="1:7" ht="12.75" customHeight="1">
      <c r="A273" s="74"/>
      <c r="B273" s="68"/>
      <c r="C273" s="71"/>
      <c r="D273" s="71"/>
      <c r="E273" s="71"/>
      <c r="F273" s="71"/>
      <c r="G273" s="71"/>
    </row>
    <row r="274" spans="1:7" ht="12.75" customHeight="1">
      <c r="B274" s="68"/>
      <c r="C274" s="71"/>
      <c r="D274" s="71"/>
      <c r="E274" s="71"/>
      <c r="F274" s="71"/>
      <c r="G274" s="71"/>
    </row>
    <row r="275" spans="1:7" ht="12.75" customHeight="1">
      <c r="A275" s="75"/>
      <c r="B275" s="68"/>
      <c r="C275" s="71"/>
      <c r="D275" s="71"/>
      <c r="E275" s="71"/>
      <c r="F275" s="71"/>
      <c r="G275" s="71"/>
    </row>
    <row r="276" spans="1:7" ht="12.75" customHeight="1">
      <c r="A276" s="75"/>
      <c r="B276" s="68"/>
      <c r="C276" s="71"/>
      <c r="D276" s="71"/>
      <c r="E276" s="71"/>
      <c r="F276" s="71"/>
      <c r="G276" s="71"/>
    </row>
    <row r="277" spans="1:7" ht="12.75" customHeight="1">
      <c r="A277" s="75"/>
      <c r="B277" s="68"/>
      <c r="C277" s="71"/>
      <c r="D277" s="71"/>
      <c r="E277" s="71"/>
      <c r="F277" s="71"/>
      <c r="G277" s="71"/>
    </row>
    <row r="278" spans="1:7" ht="12.75" customHeight="1">
      <c r="A278" s="75"/>
      <c r="B278" s="68"/>
      <c r="C278" s="71"/>
      <c r="D278" s="71"/>
      <c r="E278" s="71"/>
      <c r="F278" s="71"/>
      <c r="G278" s="71"/>
    </row>
    <row r="279" spans="1:7" ht="15" customHeight="1">
      <c r="A279" s="75"/>
      <c r="B279" s="68"/>
      <c r="C279" s="71"/>
      <c r="D279" s="71"/>
      <c r="E279" s="71"/>
      <c r="F279" s="71"/>
      <c r="G279" s="71"/>
    </row>
    <row r="280" spans="1:7">
      <c r="B280" s="68"/>
      <c r="C280" s="71"/>
      <c r="D280" s="71"/>
      <c r="E280" s="71"/>
      <c r="F280" s="71"/>
      <c r="G280" s="71"/>
    </row>
    <row r="281" spans="1:7" ht="15" customHeight="1">
      <c r="B281" s="68"/>
      <c r="C281" s="71"/>
      <c r="D281" s="71"/>
      <c r="E281" s="71"/>
      <c r="F281" s="71"/>
      <c r="G281" s="71"/>
    </row>
    <row r="282" spans="1:7" ht="15" customHeight="1">
      <c r="B282" s="68"/>
      <c r="C282" s="71"/>
      <c r="D282" s="71"/>
      <c r="E282" s="71"/>
      <c r="F282" s="71"/>
      <c r="G282" s="71"/>
    </row>
    <row r="283" spans="1:7" ht="15" customHeight="1">
      <c r="B283" s="68"/>
      <c r="C283" s="71"/>
      <c r="D283" s="71"/>
      <c r="E283" s="71"/>
      <c r="F283" s="71"/>
      <c r="G283" s="71"/>
    </row>
    <row r="284" spans="1:7" ht="15" customHeight="1">
      <c r="B284" s="68"/>
      <c r="C284" s="71"/>
      <c r="D284" s="71"/>
      <c r="E284" s="71"/>
      <c r="F284" s="71"/>
      <c r="G284" s="71"/>
    </row>
    <row r="285" spans="1:7" ht="15" customHeight="1">
      <c r="B285" s="68"/>
      <c r="C285" s="71"/>
      <c r="D285" s="71"/>
      <c r="E285" s="71"/>
      <c r="F285" s="71"/>
      <c r="G285" s="71"/>
    </row>
    <row r="286" spans="1:7" ht="15" customHeight="1">
      <c r="B286" s="68"/>
      <c r="C286" s="71"/>
      <c r="D286" s="71"/>
      <c r="E286" s="71"/>
      <c r="F286" s="71"/>
      <c r="G286" s="71"/>
    </row>
    <row r="287" spans="1:7" ht="15" customHeight="1">
      <c r="B287" s="68"/>
      <c r="C287" s="71"/>
      <c r="D287" s="71"/>
      <c r="E287" s="71"/>
      <c r="F287" s="71"/>
      <c r="G287" s="71"/>
    </row>
    <row r="288" spans="1:7" ht="15" customHeight="1">
      <c r="B288" s="68"/>
      <c r="C288" s="71"/>
      <c r="D288" s="71"/>
      <c r="E288" s="71"/>
      <c r="F288" s="71"/>
      <c r="G288" s="71"/>
    </row>
    <row r="289" spans="2:7" ht="15" customHeight="1">
      <c r="B289" s="68"/>
      <c r="C289" s="71"/>
      <c r="D289" s="71"/>
      <c r="E289" s="71"/>
      <c r="F289" s="71"/>
      <c r="G289" s="71"/>
    </row>
    <row r="290" spans="2:7" ht="15" customHeight="1">
      <c r="B290" s="68"/>
      <c r="C290" s="71"/>
      <c r="D290" s="71"/>
      <c r="E290" s="71"/>
      <c r="F290" s="71"/>
      <c r="G290" s="71"/>
    </row>
    <row r="291" spans="2:7" ht="15" customHeight="1">
      <c r="B291" s="68"/>
      <c r="C291" s="71"/>
      <c r="D291" s="71"/>
      <c r="E291" s="71"/>
      <c r="F291" s="71"/>
      <c r="G291" s="71"/>
    </row>
    <row r="292" spans="2:7" ht="15" customHeight="1">
      <c r="B292" s="68"/>
      <c r="C292" s="71"/>
      <c r="D292" s="71"/>
      <c r="E292" s="71"/>
      <c r="F292" s="71"/>
      <c r="G292" s="71"/>
    </row>
    <row r="293" spans="2:7" ht="15" customHeight="1"/>
    <row r="294" spans="2:7" ht="15" customHeight="1"/>
    <row r="295" spans="2:7" ht="15" customHeight="1"/>
    <row r="296" spans="2:7" ht="15" customHeight="1"/>
    <row r="297" spans="2:7" ht="15" customHeight="1"/>
    <row r="298" spans="2:7" ht="15" customHeight="1"/>
    <row r="299" spans="2:7" ht="15" customHeight="1"/>
    <row r="300" spans="2:7" ht="15" customHeight="1"/>
    <row r="301" spans="2:7" ht="15" customHeight="1"/>
    <row r="302" spans="2:7" ht="15" customHeight="1"/>
    <row r="303" spans="2:7" ht="15" customHeight="1"/>
    <row r="304" spans="2:7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</sheetData>
  <mergeCells count="2">
    <mergeCell ref="A4:J4"/>
    <mergeCell ref="A5:J5"/>
  </mergeCells>
  <printOptions horizontalCentered="1"/>
  <pageMargins left="0.59055118110236227" right="0" top="0.98425196850393704" bottom="0.59055118110236227" header="0.11811023622047245" footer="0.31496062992125984"/>
  <pageSetup paperSize="9" orientation="portrait" r:id="rId1"/>
  <headerFooter alignWithMargins="0">
    <oddFooter>&amp;CStránka &amp;P</oddFooter>
  </headerFooter>
  <rowBreaks count="3" manualBreakCount="3">
    <brk id="55" max="9" man="1"/>
    <brk id="115" max="9" man="1"/>
    <brk id="18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2013 </vt:lpstr>
      <vt:lpstr>'2013 '!Názvy_tisku</vt:lpstr>
      <vt:lpstr>'2013 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2012-10-02T07:54:05Z</cp:lastPrinted>
  <dcterms:created xsi:type="dcterms:W3CDTF">2010-05-26T11:33:11Z</dcterms:created>
  <dcterms:modified xsi:type="dcterms:W3CDTF">2012-10-02T07:57:36Z</dcterms:modified>
</cp:coreProperties>
</file>